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41" windowWidth="17115" windowHeight="9465" activeTab="0"/>
  </bookViews>
  <sheets>
    <sheet name="Oprema (ARRS)" sheetId="1" r:id="rId1"/>
  </sheets>
  <definedNames>
    <definedName name="_xlnm.Print_Area" localSheetId="0">'Oprema (ARRS)'!$A$1:$AQ$31</definedName>
  </definedNames>
  <calcPr fullCalcOnLoad="1"/>
</workbook>
</file>

<file path=xl/sharedStrings.xml><?xml version="1.0" encoding="utf-8"?>
<sst xmlns="http://schemas.openxmlformats.org/spreadsheetml/2006/main" count="418" uniqueCount="233">
  <si>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</si>
  <si>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</si>
  <si>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</si>
  <si>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</si>
  <si>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</si>
  <si>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</si>
  <si>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</si>
  <si>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</si>
  <si>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</si>
  <si>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</si>
  <si>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</si>
  <si>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</si>
  <si>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</si>
  <si>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</si>
  <si>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</si>
  <si>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</si>
  <si>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</si>
  <si>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</si>
  <si>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</si>
  <si>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</si>
  <si>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</si>
  <si>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</si>
  <si>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</si>
  <si>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</si>
  <si>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</si>
  <si>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</si>
  <si>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</si>
  <si>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</si>
  <si>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</si>
  <si>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</si>
  <si>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</si>
  <si>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Univerza v Ljubljani, Fakulteta za kemijo in kemijsko tehnologijo</t>
  </si>
  <si>
    <t>P1-0201</t>
  </si>
  <si>
    <t>Jurij Lah</t>
  </si>
  <si>
    <t>Diferenčni dinamični kalorimeter-NANO II DSC</t>
  </si>
  <si>
    <t>NANO II DSC Calorimeter</t>
  </si>
  <si>
    <t>Paket 10</t>
  </si>
  <si>
    <t>Stabilnost biološko pomembnih molekul v raztopinah. Termodinamika strukturnih prehodov bioloških makromolekul.</t>
  </si>
  <si>
    <t>Stability of biologically important molecules in solutions. Thermodynamics of structural transitions  of biopolymers.</t>
  </si>
  <si>
    <t>007109</t>
  </si>
  <si>
    <t>http://www.fkkt.uni-lj.si/si/?24</t>
  </si>
  <si>
    <t>P1-0175</t>
  </si>
  <si>
    <t>Ivan Leban</t>
  </si>
  <si>
    <t>Avtomtski rentgenski difraktometer s CCD detektorjem za monokristale</t>
  </si>
  <si>
    <t>Automatic X-ray diffractometer with CCD detector for monocrystals</t>
  </si>
  <si>
    <t>Aparatura je dostopna vsem ob predhodni najavi</t>
  </si>
  <si>
    <t xml:space="preserve">Services are available to all subject to previous notice. </t>
  </si>
  <si>
    <t>Zbiranje rentgenskih difrakcijskih podatkov za monokristale (male molekule)</t>
  </si>
  <si>
    <t>X-ray data collection for monocrystals (small molecules)</t>
  </si>
  <si>
    <t>007219</t>
  </si>
  <si>
    <t xml:space="preserve">http://abra.fkkt.uni-lj.si/fn01leban/difraktometer/ </t>
  </si>
  <si>
    <t>100%, v mesecu novembru v okvari</t>
  </si>
  <si>
    <t>P1-0153</t>
  </si>
  <si>
    <t>Boris Pihlar</t>
  </si>
  <si>
    <t>Robotizirani sistem za pripravo vzorcev-Zymark Prelude</t>
  </si>
  <si>
    <t>Robotic sample preparation system-Zymark Prelude</t>
  </si>
  <si>
    <t>Paket 11</t>
  </si>
  <si>
    <t>Po dogovoru</t>
  </si>
  <si>
    <t>Agreement with operator/institution</t>
  </si>
  <si>
    <t>Avtomatizirana priprava vzorcev</t>
  </si>
  <si>
    <t>Automated sample preparation</t>
  </si>
  <si>
    <t>010219 in 010231</t>
  </si>
  <si>
    <t>http://www.fkkt.uni-lj.si/en/?507</t>
  </si>
  <si>
    <t>EU programi (se zaključujejo</t>
  </si>
  <si>
    <t>P2-0191</t>
  </si>
  <si>
    <t>Matjaž Krajnc</t>
  </si>
  <si>
    <t>FTIR "in-situ" reakcijski sistem ReactIR iC10</t>
  </si>
  <si>
    <t>Mettler Toledo reactIR iC10, an FTIR-based in situ reaction analysis system</t>
  </si>
  <si>
    <t>Oprema je namenjena spremljanju kemijskih reakcij in nekaterih faznih sprememb med procesom s pomočjo "in-line" beleženja FTIR spektrov.</t>
  </si>
  <si>
    <t>in-line FTIR data collection</t>
  </si>
  <si>
    <t>010292</t>
  </si>
  <si>
    <t>P2-0150</t>
  </si>
  <si>
    <t>pedagoško delo</t>
  </si>
  <si>
    <t>TRG</t>
  </si>
  <si>
    <t>P-0179</t>
  </si>
  <si>
    <t>Branko Stanovnik</t>
  </si>
  <si>
    <t>PE 2400 Series II Elemental analyser (Perkin-Elmer analizator za CHN Model 2400)</t>
  </si>
  <si>
    <t>Perkin Elmer CHN Analyzator 2400 II</t>
  </si>
  <si>
    <t xml:space="preserve">Po dogovoru s prof.dr. Brankom Stanovnikom. Aparatura za mikroanalizo C, H, N v organskih spojinah je edina aparatura, ki deluje v Sloveniji in je dostopna vsem potencialnim uporabnikom. </t>
  </si>
  <si>
    <t>Agreement with operator Prof.Dr. Branko Stanovnik:Phone No. +386 2419 238; E-mail: Branko.Stanovnik@fkkt.uni-lj.si</t>
  </si>
  <si>
    <t>Mikroanalize CHN</t>
  </si>
  <si>
    <t>Elemental microanalyses</t>
  </si>
  <si>
    <t>010562</t>
  </si>
  <si>
    <t>P1-0134, 2144, 1129</t>
  </si>
  <si>
    <t>P1-0230</t>
  </si>
  <si>
    <t>P1-0179</t>
  </si>
  <si>
    <t xml:space="preserve">za pedagoško delo </t>
  </si>
  <si>
    <t>P-0191</t>
  </si>
  <si>
    <t>Aleksander Pavko</t>
  </si>
  <si>
    <t>Laboratorijski bioreaktor z mešalom</t>
  </si>
  <si>
    <t>Benchtop Fermenter Type KLF 2000, 3.1 L</t>
  </si>
  <si>
    <t>Osnovna uporaba je gojenje mikroorganizmov ter analiza kinetike rasti in nastajanja produktov</t>
  </si>
  <si>
    <t>The main goal is the microbe cultivation and the analysis of growth kinetics and product formation.</t>
  </si>
  <si>
    <t>010565</t>
  </si>
  <si>
    <t>MR</t>
  </si>
  <si>
    <t xml:space="preserve">Univerza v Ljubljani, Fakulteta za kemijo in kemijsko tehnologijo </t>
  </si>
  <si>
    <t>Drago Kočar</t>
  </si>
  <si>
    <t xml:space="preserve">Tekočinski kromatograf z masno spektrometričnim detektorjem (HPLC-MS/MS, Perkin Elmer Series 2000, Applied Biosystems 3200 Q Trap) </t>
  </si>
  <si>
    <t>HPLC-MS/MS System (Perkin Elmer Series 2000, Applied Biosystems 3200 Q Trap)</t>
  </si>
  <si>
    <t>Paket 12</t>
  </si>
  <si>
    <t>Določanje in identifikacija organskih komponent</t>
  </si>
  <si>
    <t>Determination and identification of organic constituents</t>
  </si>
  <si>
    <t>011914</t>
  </si>
  <si>
    <t>Anton Meden</t>
  </si>
  <si>
    <t>08790</t>
  </si>
  <si>
    <t xml:space="preserve">Visokoločljivi rentgenski praškovni difraktometer </t>
  </si>
  <si>
    <t>High resolution X-ray powder diffractometer</t>
  </si>
  <si>
    <t>011405</t>
  </si>
  <si>
    <t>P1-0134</t>
  </si>
  <si>
    <t>DMA/SDTA861e Dinamični mehanski analizator - komplet</t>
  </si>
  <si>
    <t>Mettler Tolledo DMA/SDTA 861e Dynamic Mechanical Analyzer (complete)</t>
  </si>
  <si>
    <t>Oprema je namenjena testiranju mehanskih lastnosti trdnih in visoko-viskoznih materialov v odvisnosti od temperature in uporabljene frekvence. Omogoča obremenjevanje vzorcev na nateg, kompresijo, upogib in strig.</t>
  </si>
  <si>
    <t>determination of dynamic mechanical properties of materials</t>
  </si>
  <si>
    <t>011702</t>
  </si>
  <si>
    <t>Bilaterala SLO - Madžarska (BIHU)</t>
  </si>
  <si>
    <t>Gorazd Vesnaver</t>
  </si>
  <si>
    <t>Izotermni titracijski (ITC) mikrokalorimeter</t>
  </si>
  <si>
    <t>VP-ITC Isothermal Titration Calorimeter</t>
  </si>
  <si>
    <t>Termodinamika vezanja molekul v raztopinah.</t>
  </si>
  <si>
    <t>Thermodynamics of molecular binding in solutions.</t>
  </si>
  <si>
    <t>011247</t>
  </si>
  <si>
    <t xml:space="preserve"> </t>
  </si>
  <si>
    <t>Ksenija Kogej</t>
  </si>
  <si>
    <t>"3D-DLS Research Lab" raziskovalni inštrument za merjenje (3D) dinamičnega in statičnega sipanja laserske svetlobe</t>
  </si>
  <si>
    <t>3D DLS Spectrometer, LS Instruments GmbH</t>
  </si>
  <si>
    <t>Paket 13</t>
  </si>
  <si>
    <t>določanje velikosti (molske mase) delcev v koloidnih sistemih</t>
  </si>
  <si>
    <t>determination of size (molar mass) of colloidal particles</t>
  </si>
  <si>
    <t>012577</t>
  </si>
  <si>
    <t>Barbara Modec</t>
  </si>
  <si>
    <t>12276</t>
  </si>
  <si>
    <t>FT-IR spektrometer, Spectrum 100 Perkin Elmer</t>
  </si>
  <si>
    <t>FT-IR Spectrometer, Spectrum 100 Perkin Elmer</t>
  </si>
  <si>
    <t>Nastavek Golden Gate ATR</t>
  </si>
  <si>
    <t>Golden Gate ATR</t>
  </si>
  <si>
    <t>012454</t>
  </si>
  <si>
    <t>Marjan Veber</t>
  </si>
  <si>
    <t>Atomski absorpcijski spektrometern (PE Anylyst 600)</t>
  </si>
  <si>
    <t>Atomic absorption spectrometer (PE Anylyst 600)</t>
  </si>
  <si>
    <t>ostalo</t>
  </si>
  <si>
    <t>Določanje kovin</t>
  </si>
  <si>
    <t>Determination of metals</t>
  </si>
  <si>
    <t>010852</t>
  </si>
  <si>
    <t>Helena Prosen</t>
  </si>
  <si>
    <t>Plinski kromatograf z MS detektorjem in TD ter pirolizno enoto (Agilent GC-7890A, MS-5975C)</t>
  </si>
  <si>
    <t>GC-MS System with TD and Pyrolysis units (Agilent GC-7890A, MS-5975C)</t>
  </si>
  <si>
    <t>GC-MS sistem za analizo organskih hlapnih komponent</t>
  </si>
  <si>
    <t>GC-MS system for analysis of volatile organic compounds</t>
  </si>
  <si>
    <t>012564</t>
  </si>
  <si>
    <t>http://abra.fkkt.uni-lj.si/program/</t>
  </si>
  <si>
    <t>Irena Kralj Cigić</t>
  </si>
  <si>
    <t>Prenosni NIR spektrometer (ADS Labspec 5000)</t>
  </si>
  <si>
    <t>Portable Near Infrared Spectrometer (ADS Labspec 5000)</t>
  </si>
  <si>
    <t>Agreement with operator/Institution</t>
  </si>
  <si>
    <t>Neporušna karakterizacija organskih materialov</t>
  </si>
  <si>
    <t>Nondestructive characterization of organic materials</t>
  </si>
  <si>
    <t>012576</t>
  </si>
  <si>
    <t>POPART (solastnik Morana RTD)</t>
  </si>
  <si>
    <t>L1-2401</t>
  </si>
  <si>
    <t>COST D42</t>
  </si>
  <si>
    <t>Andreja Zupančič Valant</t>
  </si>
  <si>
    <t>Reometer</t>
  </si>
  <si>
    <t>Physica MCR 301</t>
  </si>
  <si>
    <t>Celica za določanje reoloških lastnosti polimerov do 400 °C. Modul za določanje nizkoviskoznih tekočin.</t>
  </si>
  <si>
    <t>Rheological characterisation of non-newtionian materials in wide range of shear deformations: highly viscous materials in temp. range -20°C to 200°C and low viscosity fluids in tem pange -20 to 100°C.</t>
  </si>
  <si>
    <t>012692</t>
  </si>
  <si>
    <t>Bilaterala -Ciper- SLO</t>
  </si>
  <si>
    <t>Avtomatiziran laboratorijski reaktor Labmax Automatic LAB</t>
  </si>
  <si>
    <t>Mettler Tolledo LabMax Automatic Lab Reactor</t>
  </si>
  <si>
    <t>Oprema omogoča avtomatsko kontrolo parametrov in obratovalnih pogojev v reaktorju, kot so temperatura, pH vrednost, mešalni pogoji in doziranje reaktantov.</t>
  </si>
  <si>
    <t>automatic controll of process paremeters and operating conditions in a lab reactor</t>
  </si>
  <si>
    <t>012983</t>
  </si>
  <si>
    <t>Marinšek Marjan</t>
  </si>
  <si>
    <t>Visokoločljivi vrstični električni mikroskop na poljsko emisijo (FE-SEM)</t>
  </si>
  <si>
    <t>013635</t>
  </si>
  <si>
    <t>IP-0510</t>
  </si>
  <si>
    <t>Andrej Petrič</t>
  </si>
  <si>
    <t>05044</t>
  </si>
  <si>
    <t>013767</t>
  </si>
  <si>
    <t>013768</t>
  </si>
  <si>
    <t>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t>
  </si>
  <si>
    <t>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t>
  </si>
  <si>
    <t>Zainteresirani uporabnik se obrne na skrbnika opreme, ki organizira izvedbo eksperimentov in po potrebi poskrbi za interpretacijo dobljenih podatkov. Cena je zelo odvisna od zahtevnosti eksperimentov in interpretacije podakov. Informacijo o ceni dobite od skrbnika ob dogovoru za izvedbo eksperimentov.</t>
  </si>
  <si>
    <t>IInterested customer contacts the caretaker of the instrument, who organizes the data collection and, if needed, their interpretation. The price is strongly dependent on the difficulty of data collection and their interpretation. The information about the price is obtained from the caretaker before the agreement for data collection.</t>
  </si>
  <si>
    <t>Osnovna uporaba je kvalitativna in kvantitativna fazna anliza polikristaliničnih snovi (trdnih ali uprašenih). V določenih primerih je možno  tudi natančno merjenje parametrov osnovne celice, indeksiranje, Rietveldova analiza in reševanje kristalne strukture.</t>
  </si>
  <si>
    <t>The basic application is qualitative and quantitative phase analysis of polycrystalline samples (solid or powdered). Precise measurement of the unit cell parameters, indexing, Rietveld refinement and crystal structure determination are also possible in certain cases.</t>
  </si>
  <si>
    <t>Ime odgovornega računovodje: Ljudmila Obreza, dipl.ekon.</t>
  </si>
  <si>
    <t>Ime zakonitega zastopnika/pooblaščene osebe raziskovalne organizacije: Dekan: prof.dr. Anton Meden</t>
  </si>
  <si>
    <t>http://nmr-slave.fkkt.uni-lj.si/oprema.html</t>
  </si>
  <si>
    <t>zunanji</t>
  </si>
  <si>
    <t>KI, Zavod za gradbeništvo, Calcit, IJS</t>
  </si>
  <si>
    <t>P2-0191, P1-0175, P1-0134</t>
  </si>
  <si>
    <t>Vojeslav Vlachy</t>
  </si>
  <si>
    <t>Albin Pintar</t>
  </si>
  <si>
    <t>Peter Bukovec</t>
  </si>
  <si>
    <t>Marijan Kočevar</t>
  </si>
  <si>
    <t>Jana Kolar</t>
  </si>
  <si>
    <t>Cena za uporabo raziskovalne opreme            v EUR</t>
  </si>
  <si>
    <t xml:space="preserve">Struktura lastne cene za uporabo raziskovalne opreme  </t>
  </si>
  <si>
    <t>006</t>
  </si>
  <si>
    <t>008</t>
  </si>
  <si>
    <t>009</t>
  </si>
  <si>
    <t>002</t>
  </si>
  <si>
    <t>001</t>
  </si>
  <si>
    <t>003</t>
  </si>
  <si>
    <t>007</t>
  </si>
  <si>
    <t>Janez Košmrlj</t>
  </si>
  <si>
    <t>13822</t>
  </si>
  <si>
    <t>Tekočinski kromatograf z masnim detektorjem na čas preleta (TOF)</t>
  </si>
  <si>
    <t>Agilent 6224 Accurate Mass TOF LC/MS system</t>
  </si>
  <si>
    <t>Načela za uporabo inštrumentalnega časa so objavljena na spletni strani IC UL FKKT (http://nmr-slave.fkkt.uni-lj.si)</t>
  </si>
  <si>
    <t>Oprema je namenjena raziskovalcem za določanje čitoče in natančne molekulske mase spojin.</t>
  </si>
  <si>
    <t>The equipmnet is intended for the determination of purity and exact molecular mass of compounds</t>
  </si>
  <si>
    <t>013835</t>
  </si>
  <si>
    <t>http://nmr-slave.fkkt.uni-lj.si</t>
  </si>
  <si>
    <t>04614</t>
  </si>
  <si>
    <t>Paket 14</t>
  </si>
  <si>
    <t>Skupaj lastna cena/uro</t>
  </si>
  <si>
    <t xml:space="preserve"> Bruker AVANCE 500 MHz NMR spektrometer</t>
  </si>
  <si>
    <t xml:space="preserve"> Bruker AVANCE 500 MHz NMR spectrometer</t>
  </si>
  <si>
    <t>Services are available to all subject to previous notice. Details can be found at http://nmr-slave.fkkt.uni-lj.si</t>
  </si>
  <si>
    <t>Oprema je namenjena raziskovalcem za določanje strukture, konformacij in dinamike molekul v raztopini</t>
  </si>
  <si>
    <t>The equipment enables the determination of structure, conforamtion, and dynamics of molecules in solution</t>
  </si>
  <si>
    <t xml:space="preserve"> Bruker AVANCE 400 MHz NMR spektrometer</t>
  </si>
  <si>
    <t xml:space="preserve"> Bruker AVANCE 400 MHz NMR spectrometer</t>
  </si>
  <si>
    <t>High resolution electron microscope Zeiss FE-SEM ULTRA plus</t>
  </si>
  <si>
    <t>Oprema je namenjena raziskovalcem za opazovanje površine vzorcev (SE, BSE, EDX) na mikro in nano nivoju</t>
  </si>
  <si>
    <t>The equipment enables the determination of samples' microstructure (SE, BSE, EDX) on micro- and nano-level</t>
  </si>
  <si>
    <t>Zainteresirani uporabnik se obrne na skrbnika opreme, ki organizira snemanje vzorcev in po potrebi poskrbi za interpretacijo. Za uporabnike z UL FKKT je storitev brezplačna, drugi uporabniki plačajo stroške snemanja in interpretacije. Cena je zelo odvisna od načina snemanja in zahtevnosti interpretacije, informacijo o ceni dobite od skrbnika pred dogovorom za snemanje.</t>
  </si>
  <si>
    <t>Interested customer contacts the caretaker of the instrument, who then organizes the data collection and, if needed, interpretation of the patterns. For the customers from UL FKKT, the service is free of charge, other customers pay the expenses of the data collection and interpretation. The price is strongly dependent on the data collection parameters and the difficulty of the interpretation, the information on the price is obtained fom the caretaker before the agreement for data collection.</t>
  </si>
  <si>
    <t>Oprema je dostopna le po predhodnem dogovoru in pod vodstvom strokovno usposobljene osebe; cena za določitev hidrodinamskega radija in za določanje molske mase se zaračuna glede na porabljeni čas in zahtevnost ostalih postopkov</t>
  </si>
  <si>
    <t>The qeuipment is available on the basis of a previous agreement and with a supervision of authorized personel; the determination of the hydrodynamic radius and the price for the molar mass determination  depends on the used time and on the pretentiousness of measurements.</t>
  </si>
  <si>
    <t>MESEČNO POROČILO - JUNIJ 2011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</si>
</sst>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31">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Arial"/>
      <family val="0"/>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u val="single"/>
      <sz val="10"/>
      <name val="Arial"/>
      <family val="0"/>
    </font>
    <font>
      <sz val="11"/>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54">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2" fillId="0" borderId="0" xfId="0" applyFont="1" applyFill="1" applyAlignment="1">
      <alignment/>
    </xf>
    <xf numFmtId="0" fontId="22"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3" fillId="0" borderId="11" xfId="0" applyFont="1" applyFill="1" applyBorder="1" applyAlignment="1">
      <alignment horizontal="center" wrapText="1"/>
    </xf>
    <xf numFmtId="49" fontId="24" fillId="0" borderId="11" xfId="0" applyNumberFormat="1" applyFont="1" applyFill="1" applyBorder="1" applyAlignment="1">
      <alignment horizontal="center" wrapText="1"/>
    </xf>
    <xf numFmtId="2" fontId="24" fillId="0" borderId="12" xfId="0" applyNumberFormat="1" applyFont="1" applyFill="1" applyBorder="1" applyAlignment="1">
      <alignment horizontal="center" wrapText="1"/>
    </xf>
    <xf numFmtId="2" fontId="24" fillId="0" borderId="13" xfId="0" applyNumberFormat="1" applyFont="1" applyBorder="1" applyAlignment="1">
      <alignment horizontal="center" wrapText="1"/>
    </xf>
    <xf numFmtId="0" fontId="24" fillId="0" borderId="14" xfId="0" applyFont="1" applyBorder="1" applyAlignment="1">
      <alignment horizontal="center" wrapText="1"/>
    </xf>
    <xf numFmtId="0" fontId="24" fillId="16" borderId="15" xfId="0" applyFont="1" applyFill="1" applyBorder="1" applyAlignment="1">
      <alignment wrapText="1"/>
    </xf>
    <xf numFmtId="2" fontId="24" fillId="16" borderId="15" xfId="0" applyNumberFormat="1" applyFont="1" applyFill="1" applyBorder="1" applyAlignment="1">
      <alignment/>
    </xf>
    <xf numFmtId="0" fontId="24" fillId="16" borderId="15" xfId="0" applyFont="1" applyFill="1" applyBorder="1" applyAlignment="1">
      <alignment/>
    </xf>
    <xf numFmtId="0" fontId="24" fillId="24" borderId="10" xfId="0" applyFont="1" applyFill="1" applyBorder="1" applyAlignment="1">
      <alignment/>
    </xf>
    <xf numFmtId="0" fontId="24" fillId="24" borderId="11" xfId="0" applyFont="1" applyFill="1" applyBorder="1" applyAlignment="1">
      <alignment/>
    </xf>
    <xf numFmtId="0" fontId="24" fillId="24" borderId="16" xfId="0" applyFont="1" applyFill="1" applyBorder="1" applyAlignment="1">
      <alignment/>
    </xf>
    <xf numFmtId="0" fontId="0" fillId="0" borderId="17" xfId="0" applyFill="1" applyBorder="1" applyAlignment="1">
      <alignment wrapText="1"/>
    </xf>
    <xf numFmtId="0" fontId="0" fillId="0" borderId="18" xfId="0" applyFill="1" applyBorder="1" applyAlignment="1">
      <alignment horizontal="center" wrapText="1"/>
    </xf>
    <xf numFmtId="0" fontId="0" fillId="0" borderId="18" xfId="0" applyFill="1" applyBorder="1" applyAlignment="1">
      <alignment wrapText="1"/>
    </xf>
    <xf numFmtId="3" fontId="0" fillId="0" borderId="18" xfId="0" applyNumberFormat="1" applyFill="1" applyBorder="1" applyAlignment="1">
      <alignment wrapText="1"/>
    </xf>
    <xf numFmtId="0" fontId="23" fillId="0" borderId="18" xfId="0" applyFont="1" applyFill="1" applyBorder="1" applyAlignment="1">
      <alignment wrapText="1"/>
    </xf>
    <xf numFmtId="49" fontId="0" fillId="0" borderId="19" xfId="0" applyNumberFormat="1" applyFill="1" applyBorder="1" applyAlignment="1">
      <alignment horizontal="center" wrapText="1"/>
    </xf>
    <xf numFmtId="2" fontId="0" fillId="0" borderId="19" xfId="0" applyNumberFormat="1" applyFill="1" applyBorder="1" applyAlignment="1">
      <alignment wrapText="1"/>
    </xf>
    <xf numFmtId="0" fontId="23" fillId="0" borderId="20" xfId="0" applyFont="1" applyFill="1" applyBorder="1" applyAlignment="1">
      <alignment horizontal="center" wrapText="1"/>
    </xf>
    <xf numFmtId="2" fontId="23" fillId="0" borderId="20" xfId="0" applyNumberFormat="1" applyFont="1" applyFill="1" applyBorder="1" applyAlignment="1">
      <alignment horizontal="center" wrapText="1"/>
    </xf>
    <xf numFmtId="2" fontId="0" fillId="0" borderId="20" xfId="0" applyNumberFormat="1" applyFill="1" applyBorder="1" applyAlignment="1">
      <alignment/>
    </xf>
    <xf numFmtId="0" fontId="0" fillId="0" borderId="21" xfId="0" applyFill="1" applyBorder="1" applyAlignment="1">
      <alignment wrapText="1"/>
    </xf>
    <xf numFmtId="2" fontId="23" fillId="0" borderId="22" xfId="0" applyNumberFormat="1" applyFont="1" applyFill="1" applyBorder="1" applyAlignment="1">
      <alignment horizontal="center" wrapText="1"/>
    </xf>
    <xf numFmtId="0" fontId="23" fillId="16" borderId="20" xfId="0" applyFont="1" applyFill="1" applyBorder="1" applyAlignment="1">
      <alignment horizontal="center" wrapText="1"/>
    </xf>
    <xf numFmtId="2" fontId="23" fillId="16" borderId="20" xfId="0" applyNumberFormat="1" applyFont="1" applyFill="1" applyBorder="1" applyAlignment="1">
      <alignment horizontal="center" wrapText="1"/>
    </xf>
    <xf numFmtId="0" fontId="23" fillId="0" borderId="23" xfId="0" applyFont="1" applyFill="1" applyBorder="1" applyAlignment="1">
      <alignment wrapText="1"/>
    </xf>
    <xf numFmtId="0" fontId="23" fillId="16" borderId="24" xfId="0" applyFont="1" applyFill="1" applyBorder="1" applyAlignment="1">
      <alignment horizontal="center" wrapText="1"/>
    </xf>
    <xf numFmtId="0" fontId="23" fillId="24" borderId="25" xfId="0" applyFont="1" applyFill="1" applyBorder="1" applyAlignment="1">
      <alignment horizontal="center" wrapText="1"/>
    </xf>
    <xf numFmtId="0" fontId="23" fillId="24" borderId="26" xfId="0" applyFont="1" applyFill="1" applyBorder="1" applyAlignment="1">
      <alignment horizontal="center" wrapText="1"/>
    </xf>
    <xf numFmtId="0" fontId="23" fillId="24" borderId="24" xfId="0" applyFont="1" applyFill="1" applyBorder="1" applyAlignment="1">
      <alignment horizontal="center" wrapText="1"/>
    </xf>
    <xf numFmtId="0" fontId="0" fillId="0" borderId="27" xfId="0" applyFill="1" applyBorder="1" applyAlignment="1">
      <alignment horizontal="left" wrapText="1"/>
    </xf>
    <xf numFmtId="0" fontId="0" fillId="0" borderId="27" xfId="0" applyFill="1" applyBorder="1" applyAlignment="1">
      <alignment horizontal="center" wrapText="1"/>
    </xf>
    <xf numFmtId="0" fontId="0" fillId="0" borderId="27" xfId="0" applyFill="1" applyBorder="1" applyAlignment="1">
      <alignment wrapText="1"/>
    </xf>
    <xf numFmtId="0" fontId="27" fillId="0" borderId="27" xfId="0" applyFont="1" applyFill="1" applyBorder="1" applyAlignment="1">
      <alignment wrapText="1"/>
    </xf>
    <xf numFmtId="0" fontId="0" fillId="0" borderId="27" xfId="0" applyFont="1" applyFill="1" applyBorder="1" applyAlignment="1">
      <alignment horizontal="right" wrapText="1"/>
    </xf>
    <xf numFmtId="3" fontId="0" fillId="0" borderId="27" xfId="0" applyNumberFormat="1" applyFill="1" applyBorder="1" applyAlignment="1">
      <alignment wrapText="1"/>
    </xf>
    <xf numFmtId="49" fontId="0" fillId="0" borderId="27" xfId="0" applyNumberFormat="1" applyFill="1" applyBorder="1" applyAlignment="1">
      <alignment horizontal="center"/>
    </xf>
    <xf numFmtId="2" fontId="0" fillId="0" borderId="27" xfId="0" applyNumberFormat="1" applyFill="1" applyBorder="1" applyAlignment="1">
      <alignment wrapText="1"/>
    </xf>
    <xf numFmtId="4" fontId="0" fillId="0" borderId="27" xfId="0" applyNumberFormat="1" applyFill="1" applyBorder="1" applyAlignment="1">
      <alignment/>
    </xf>
    <xf numFmtId="2" fontId="0" fillId="0" borderId="27" xfId="0" applyNumberFormat="1" applyFill="1" applyBorder="1" applyAlignment="1">
      <alignment/>
    </xf>
    <xf numFmtId="0" fontId="0" fillId="16" borderId="27" xfId="0" applyFill="1" applyBorder="1" applyAlignment="1">
      <alignment wrapText="1"/>
    </xf>
    <xf numFmtId="0" fontId="0" fillId="16" borderId="26" xfId="0" applyFont="1" applyFill="1" applyBorder="1" applyAlignment="1">
      <alignment wrapText="1"/>
    </xf>
    <xf numFmtId="2" fontId="0" fillId="16" borderId="27" xfId="0" applyNumberFormat="1" applyFill="1" applyBorder="1" applyAlignment="1">
      <alignment/>
    </xf>
    <xf numFmtId="0" fontId="0" fillId="16" borderId="27" xfId="0" applyFill="1" applyBorder="1" applyAlignment="1">
      <alignment/>
    </xf>
    <xf numFmtId="0" fontId="0" fillId="0" borderId="27" xfId="0" applyFill="1" applyBorder="1" applyAlignment="1">
      <alignment/>
    </xf>
    <xf numFmtId="0" fontId="0" fillId="16" borderId="28" xfId="0" applyFill="1" applyBorder="1" applyAlignment="1">
      <alignment/>
    </xf>
    <xf numFmtId="0" fontId="0" fillId="24" borderId="25" xfId="0" applyFill="1" applyBorder="1" applyAlignment="1">
      <alignment/>
    </xf>
    <xf numFmtId="0" fontId="0" fillId="24" borderId="26" xfId="0" applyFill="1" applyBorder="1" applyAlignment="1">
      <alignment/>
    </xf>
    <xf numFmtId="0" fontId="0" fillId="24" borderId="24" xfId="0" applyFill="1" applyBorder="1" applyAlignment="1">
      <alignment/>
    </xf>
    <xf numFmtId="0" fontId="0" fillId="0" borderId="26" xfId="0" applyFill="1" applyBorder="1" applyAlignment="1">
      <alignment horizontal="left" wrapText="1"/>
    </xf>
    <xf numFmtId="0" fontId="0" fillId="0" borderId="26" xfId="0" applyFill="1" applyBorder="1" applyAlignment="1">
      <alignment horizontal="center" wrapText="1"/>
    </xf>
    <xf numFmtId="0" fontId="0" fillId="0" borderId="26" xfId="0" applyFill="1" applyBorder="1" applyAlignment="1">
      <alignment wrapText="1"/>
    </xf>
    <xf numFmtId="0" fontId="27" fillId="0" borderId="26" xfId="0" applyFont="1" applyFill="1" applyBorder="1" applyAlignment="1">
      <alignment wrapText="1"/>
    </xf>
    <xf numFmtId="0" fontId="0" fillId="0" borderId="26" xfId="0" applyFont="1" applyFill="1" applyBorder="1" applyAlignment="1">
      <alignment horizontal="right" wrapText="1"/>
    </xf>
    <xf numFmtId="3" fontId="0" fillId="0" borderId="26" xfId="0" applyNumberFormat="1" applyFill="1" applyBorder="1" applyAlignment="1">
      <alignment wrapText="1"/>
    </xf>
    <xf numFmtId="49" fontId="0" fillId="0" borderId="26" xfId="0" applyNumberFormat="1" applyFill="1" applyBorder="1" applyAlignment="1">
      <alignment horizontal="center"/>
    </xf>
    <xf numFmtId="2" fontId="0" fillId="0" borderId="26" xfId="0" applyNumberFormat="1" applyFill="1" applyBorder="1" applyAlignment="1">
      <alignment/>
    </xf>
    <xf numFmtId="0" fontId="28" fillId="0" borderId="0" xfId="39" applyFont="1" applyAlignment="1" applyProtection="1">
      <alignment wrapText="1"/>
      <protection/>
    </xf>
    <xf numFmtId="2" fontId="0" fillId="0" borderId="26" xfId="0" applyNumberFormat="1" applyFill="1" applyBorder="1" applyAlignment="1">
      <alignment wrapText="1"/>
    </xf>
    <xf numFmtId="0" fontId="0" fillId="16" borderId="26" xfId="0" applyFill="1" applyBorder="1" applyAlignment="1">
      <alignment wrapText="1"/>
    </xf>
    <xf numFmtId="2" fontId="0" fillId="16" borderId="26" xfId="0" applyNumberFormat="1" applyFill="1" applyBorder="1" applyAlignment="1">
      <alignment/>
    </xf>
    <xf numFmtId="0" fontId="0" fillId="16" borderId="26" xfId="0" applyFill="1" applyBorder="1" applyAlignment="1">
      <alignment/>
    </xf>
    <xf numFmtId="0" fontId="0" fillId="0" borderId="26" xfId="0" applyFill="1" applyBorder="1" applyAlignment="1">
      <alignment/>
    </xf>
    <xf numFmtId="0" fontId="0" fillId="16" borderId="29" xfId="0" applyFill="1" applyBorder="1" applyAlignment="1">
      <alignment/>
    </xf>
    <xf numFmtId="49" fontId="0" fillId="0" borderId="26" xfId="0" applyNumberFormat="1" applyFill="1" applyBorder="1" applyAlignment="1">
      <alignment horizontal="center" wrapText="1"/>
    </xf>
    <xf numFmtId="0" fontId="29" fillId="16" borderId="26" xfId="0" applyFont="1" applyFill="1" applyBorder="1" applyAlignment="1">
      <alignment wrapText="1"/>
    </xf>
    <xf numFmtId="0" fontId="0" fillId="0" borderId="26" xfId="0" applyFont="1" applyBorder="1" applyAlignment="1">
      <alignment wrapText="1"/>
    </xf>
    <xf numFmtId="0" fontId="29" fillId="0" borderId="26" xfId="0" applyFont="1" applyBorder="1" applyAlignment="1">
      <alignment wrapText="1"/>
    </xf>
    <xf numFmtId="49" fontId="0" fillId="0" borderId="26" xfId="0" applyNumberFormat="1" applyFill="1" applyBorder="1" applyAlignment="1">
      <alignment horizontal="left" wrapText="1"/>
    </xf>
    <xf numFmtId="0" fontId="0" fillId="0" borderId="26" xfId="0" applyFont="1" applyFill="1" applyBorder="1" applyAlignment="1">
      <alignment wrapText="1"/>
    </xf>
    <xf numFmtId="0" fontId="0" fillId="24" borderId="25" xfId="0" applyFill="1" applyBorder="1" applyAlignment="1">
      <alignment wrapText="1"/>
    </xf>
    <xf numFmtId="0" fontId="0" fillId="0" borderId="26" xfId="0" applyNumberFormat="1" applyFill="1" applyBorder="1" applyAlignment="1">
      <alignment wrapText="1"/>
    </xf>
    <xf numFmtId="0" fontId="0" fillId="0" borderId="26" xfId="0" applyFont="1" applyBorder="1" applyAlignment="1">
      <alignment/>
    </xf>
    <xf numFmtId="49" fontId="30" fillId="0" borderId="26" xfId="0" applyNumberFormat="1" applyFont="1" applyFill="1" applyBorder="1" applyAlignment="1">
      <alignment horizontal="right" wrapText="1"/>
    </xf>
    <xf numFmtId="9" fontId="0" fillId="16" borderId="26" xfId="0" applyNumberFormat="1" applyFill="1" applyBorder="1" applyAlignment="1">
      <alignment/>
    </xf>
    <xf numFmtId="0" fontId="0" fillId="0" borderId="26" xfId="0" applyFont="1" applyFill="1" applyBorder="1" applyAlignment="1">
      <alignment wrapText="1"/>
    </xf>
    <xf numFmtId="9" fontId="0" fillId="0" borderId="26" xfId="0" applyNumberFormat="1" applyFill="1" applyBorder="1" applyAlignment="1">
      <alignment/>
    </xf>
    <xf numFmtId="0" fontId="0" fillId="0" borderId="26" xfId="0" applyBorder="1" applyAlignment="1">
      <alignment/>
    </xf>
    <xf numFmtId="0" fontId="23" fillId="0" borderId="26" xfId="0" applyFont="1" applyBorder="1" applyAlignment="1">
      <alignment/>
    </xf>
    <xf numFmtId="0" fontId="0" fillId="0" borderId="26" xfId="0" applyBorder="1" applyAlignment="1">
      <alignment wrapText="1"/>
    </xf>
    <xf numFmtId="49" fontId="0" fillId="0" borderId="26" xfId="0" applyNumberFormat="1" applyBorder="1" applyAlignment="1">
      <alignment horizontal="center" wrapText="1"/>
    </xf>
    <xf numFmtId="2" fontId="0" fillId="0" borderId="26" xfId="0" applyNumberFormat="1" applyBorder="1" applyAlignment="1">
      <alignment/>
    </xf>
    <xf numFmtId="0" fontId="0" fillId="16" borderId="26" xfId="0" applyFont="1" applyFill="1" applyBorder="1" applyAlignment="1">
      <alignment wrapText="1"/>
    </xf>
    <xf numFmtId="2" fontId="0" fillId="0" borderId="26" xfId="0" applyNumberFormat="1" applyBorder="1" applyAlignment="1">
      <alignment wrapText="1"/>
    </xf>
    <xf numFmtId="9" fontId="0" fillId="0" borderId="26" xfId="0" applyNumberFormat="1" applyBorder="1" applyAlignment="1">
      <alignment/>
    </xf>
    <xf numFmtId="0" fontId="23" fillId="0" borderId="26" xfId="0" applyFont="1" applyBorder="1" applyAlignment="1">
      <alignment wrapText="1"/>
    </xf>
    <xf numFmtId="0" fontId="23" fillId="0" borderId="26" xfId="0" applyFont="1" applyFill="1" applyBorder="1" applyAlignment="1">
      <alignment/>
    </xf>
    <xf numFmtId="0" fontId="0" fillId="0" borderId="30" xfId="0" applyFont="1" applyFill="1" applyBorder="1" applyAlignment="1">
      <alignment wrapText="1"/>
    </xf>
    <xf numFmtId="49" fontId="0" fillId="0" borderId="30" xfId="0" applyNumberFormat="1" applyFill="1" applyBorder="1" applyAlignment="1">
      <alignment horizontal="center" wrapText="1"/>
    </xf>
    <xf numFmtId="0" fontId="0" fillId="0" borderId="30" xfId="0" applyFill="1" applyBorder="1" applyAlignment="1">
      <alignment/>
    </xf>
    <xf numFmtId="2" fontId="0" fillId="0" borderId="30" xfId="0" applyNumberFormat="1" applyFill="1" applyBorder="1" applyAlignment="1">
      <alignment/>
    </xf>
    <xf numFmtId="0" fontId="0" fillId="16" borderId="30" xfId="0" applyFill="1" applyBorder="1" applyAlignment="1">
      <alignment/>
    </xf>
    <xf numFmtId="0" fontId="0" fillId="16" borderId="30" xfId="0" applyFill="1" applyBorder="1" applyAlignment="1">
      <alignment wrapText="1"/>
    </xf>
    <xf numFmtId="2" fontId="0" fillId="16" borderId="30" xfId="0" applyNumberFormat="1" applyFill="1" applyBorder="1" applyAlignment="1">
      <alignment/>
    </xf>
    <xf numFmtId="0" fontId="0" fillId="0" borderId="30" xfId="0" applyFill="1" applyBorder="1" applyAlignment="1">
      <alignment wrapText="1"/>
    </xf>
    <xf numFmtId="0" fontId="0" fillId="16" borderId="31" xfId="0" applyFill="1" applyBorder="1" applyAlignment="1">
      <alignment/>
    </xf>
    <xf numFmtId="0" fontId="0" fillId="0" borderId="26" xfId="0" applyBorder="1" applyAlignment="1">
      <alignment horizontal="center" wrapText="1"/>
    </xf>
    <xf numFmtId="0" fontId="30" fillId="0" borderId="26" xfId="0" applyFont="1" applyFill="1" applyBorder="1" applyAlignment="1">
      <alignment wrapText="1"/>
    </xf>
    <xf numFmtId="3" fontId="0" fillId="0" borderId="26" xfId="0" applyNumberFormat="1" applyBorder="1" applyAlignment="1">
      <alignment wrapText="1"/>
    </xf>
    <xf numFmtId="0" fontId="0" fillId="0" borderId="26" xfId="0" applyFont="1" applyBorder="1" applyAlignment="1">
      <alignment wrapText="1"/>
    </xf>
    <xf numFmtId="49" fontId="0" fillId="0" borderId="26" xfId="0" applyNumberFormat="1" applyFont="1" applyFill="1" applyBorder="1" applyAlignment="1">
      <alignment horizontal="right" wrapText="1"/>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wrapText="1"/>
    </xf>
    <xf numFmtId="0" fontId="30"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3" fillId="0" borderId="0" xfId="0" applyFont="1" applyAlignment="1">
      <alignment/>
    </xf>
    <xf numFmtId="0" fontId="0" fillId="0" borderId="32"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32" xfId="0" applyFill="1" applyBorder="1" applyAlignment="1">
      <alignment/>
    </xf>
    <xf numFmtId="0" fontId="0" fillId="0" borderId="33" xfId="0" applyFill="1" applyBorder="1" applyAlignment="1">
      <alignment/>
    </xf>
    <xf numFmtId="0" fontId="0" fillId="24" borderId="33" xfId="0" applyFill="1" applyBorder="1" applyAlignment="1">
      <alignment/>
    </xf>
    <xf numFmtId="0" fontId="0" fillId="24" borderId="34" xfId="0" applyFill="1" applyBorder="1" applyAlignment="1">
      <alignment/>
    </xf>
    <xf numFmtId="0" fontId="0" fillId="24" borderId="35" xfId="0" applyFill="1" applyBorder="1" applyAlignment="1">
      <alignment/>
    </xf>
    <xf numFmtId="0" fontId="0" fillId="24" borderId="36" xfId="0" applyFill="1" applyBorder="1" applyAlignment="1">
      <alignment/>
    </xf>
    <xf numFmtId="49" fontId="22" fillId="0" borderId="0" xfId="0" applyNumberFormat="1" applyFont="1" applyFill="1" applyAlignment="1">
      <alignment/>
    </xf>
    <xf numFmtId="49" fontId="0" fillId="0" borderId="11" xfId="0" applyNumberFormat="1" applyFont="1" applyFill="1" applyBorder="1" applyAlignment="1">
      <alignment horizontal="center" wrapText="1"/>
    </xf>
    <xf numFmtId="49" fontId="0" fillId="0" borderId="18" xfId="0" applyNumberFormat="1" applyFont="1" applyFill="1" applyBorder="1" applyAlignment="1">
      <alignment horizontal="center" wrapText="1"/>
    </xf>
    <xf numFmtId="49" fontId="0" fillId="0" borderId="27" xfId="0" applyNumberFormat="1" applyFill="1" applyBorder="1" applyAlignment="1">
      <alignment horizontal="center" wrapText="1"/>
    </xf>
    <xf numFmtId="49" fontId="0" fillId="0" borderId="26" xfId="0" applyNumberFormat="1" applyBorder="1" applyAlignment="1">
      <alignment horizontal="right" wrapText="1"/>
    </xf>
    <xf numFmtId="49" fontId="0" fillId="0" borderId="0" xfId="0" applyNumberFormat="1" applyBorder="1" applyAlignment="1">
      <alignment horizontal="right" wrapText="1"/>
    </xf>
    <xf numFmtId="49" fontId="0" fillId="0" borderId="0" xfId="0" applyNumberFormat="1" applyAlignment="1">
      <alignment/>
    </xf>
    <xf numFmtId="0" fontId="0" fillId="0" borderId="26" xfId="0" applyBorder="1" applyAlignment="1">
      <alignment horizontal="left" wrapText="1"/>
    </xf>
    <xf numFmtId="4" fontId="0" fillId="0" borderId="26" xfId="0" applyNumberFormat="1" applyBorder="1" applyAlignment="1">
      <alignment wrapText="1"/>
    </xf>
    <xf numFmtId="0" fontId="0" fillId="0" borderId="0" xfId="0" applyAlignment="1">
      <alignment/>
    </xf>
    <xf numFmtId="0" fontId="21" fillId="0" borderId="0" xfId="0" applyFont="1" applyFill="1" applyAlignment="1">
      <alignment/>
    </xf>
    <xf numFmtId="0" fontId="24" fillId="0" borderId="14" xfId="0" applyFont="1" applyBorder="1" applyAlignment="1">
      <alignment horizontal="center" wrapText="1"/>
    </xf>
    <xf numFmtId="0" fontId="24" fillId="0" borderId="15" xfId="0" applyFont="1" applyBorder="1" applyAlignment="1">
      <alignment horizontal="center" wrapText="1"/>
    </xf>
    <xf numFmtId="0" fontId="24" fillId="0" borderId="37" xfId="0" applyFont="1" applyBorder="1" applyAlignment="1">
      <alignment horizontal="center" wrapText="1"/>
    </xf>
    <xf numFmtId="0" fontId="25" fillId="16" borderId="38" xfId="0" applyFont="1" applyFill="1" applyBorder="1" applyAlignment="1">
      <alignment/>
    </xf>
    <xf numFmtId="0" fontId="26" fillId="0" borderId="15" xfId="0" applyFont="1" applyBorder="1" applyAlignment="1">
      <alignment/>
    </xf>
    <xf numFmtId="0" fontId="23"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bra.fkkt.uni-lj.si/fn01leban/difraktometer/" TargetMode="External" /><Relationship Id="rId2" Type="http://schemas.openxmlformats.org/officeDocument/2006/relationships/hyperlink" Target="http://mikroskop.fkkt.uni-lj.si/login.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32"/>
  <sheetViews>
    <sheetView showGridLines="0" tabSelected="1" zoomScale="75" zoomScaleNormal="75" zoomScaleSheetLayoutView="75" workbookViewId="0" topLeftCell="A1">
      <pane xSplit="1" ySplit="3" topLeftCell="B4" activePane="bottomRight" state="frozen"/>
      <selection pane="topLeft" activeCell="A1" sqref="A1"/>
      <selection pane="topRight" activeCell="C1" sqref="C1"/>
      <selection pane="bottomLeft" activeCell="A2" sqref="A2"/>
      <selection pane="bottomRight" activeCell="A3" sqref="A3"/>
    </sheetView>
  </sheetViews>
  <sheetFormatPr defaultColWidth="9.140625" defaultRowHeight="12.75"/>
  <cols>
    <col min="1" max="1" width="28.140625" style="0" customWidth="1"/>
    <col min="3" max="3" width="7.140625" style="143" customWidth="1"/>
    <col min="5" max="5" width="16.00390625" style="126"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6.28125" style="0" customWidth="1"/>
    <col min="16" max="16" width="16.140625" style="3" customWidth="1"/>
    <col min="17" max="17" width="14.7109375" style="4" customWidth="1"/>
    <col min="18" max="18" width="11.140625" style="5" customWidth="1"/>
    <col min="19" max="19" width="9.8515625" style="5" bestFit="1" customWidth="1"/>
    <col min="20" max="20" width="13.28125" style="4" bestFit="1"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47" t="s">
        <v>0</v>
      </c>
      <c r="B1" s="146"/>
      <c r="C1" s="146"/>
      <c r="D1" s="146"/>
      <c r="E1" s="146"/>
      <c r="F1" s="146"/>
      <c r="G1" s="146"/>
      <c r="AO1" s="6"/>
      <c r="AP1" s="6"/>
      <c r="AQ1" s="6"/>
    </row>
    <row r="2" spans="1:43" ht="18.75" thickBot="1">
      <c r="A2" s="7"/>
      <c r="B2" s="7"/>
      <c r="C2" s="137"/>
      <c r="D2" s="7"/>
      <c r="E2" s="8"/>
      <c r="F2" s="9"/>
      <c r="AO2" s="6"/>
      <c r="AP2" s="6"/>
      <c r="AQ2" s="6"/>
    </row>
    <row r="3" spans="1:43" s="9" customFormat="1" ht="80.25" customHeight="1" thickBot="1">
      <c r="A3" s="10" t="s">
        <v>1</v>
      </c>
      <c r="B3" s="11" t="s">
        <v>2</v>
      </c>
      <c r="C3" s="138" t="s">
        <v>3</v>
      </c>
      <c r="D3" s="12" t="s">
        <v>4</v>
      </c>
      <c r="E3" s="12" t="s">
        <v>5</v>
      </c>
      <c r="F3" s="12" t="s">
        <v>6</v>
      </c>
      <c r="G3" s="12" t="s">
        <v>7</v>
      </c>
      <c r="H3" s="12" t="s">
        <v>8</v>
      </c>
      <c r="I3" s="12" t="s">
        <v>9</v>
      </c>
      <c r="J3" s="13" t="s">
        <v>10</v>
      </c>
      <c r="K3" s="14" t="s">
        <v>11</v>
      </c>
      <c r="L3" s="12" t="s">
        <v>12</v>
      </c>
      <c r="M3" s="12" t="s">
        <v>13</v>
      </c>
      <c r="N3" s="12" t="s">
        <v>14</v>
      </c>
      <c r="O3" s="12" t="s">
        <v>15</v>
      </c>
      <c r="P3" s="15" t="s">
        <v>16</v>
      </c>
      <c r="Q3" s="16" t="s">
        <v>197</v>
      </c>
      <c r="R3" s="148" t="s">
        <v>198</v>
      </c>
      <c r="S3" s="149"/>
      <c r="T3" s="149"/>
      <c r="U3" s="150"/>
      <c r="V3" s="17" t="s">
        <v>17</v>
      </c>
      <c r="W3" s="17" t="s">
        <v>18</v>
      </c>
      <c r="X3" s="18" t="s">
        <v>19</v>
      </c>
      <c r="Y3" s="151" t="s">
        <v>232</v>
      </c>
      <c r="Z3" s="152"/>
      <c r="AA3" s="152"/>
      <c r="AB3" s="152"/>
      <c r="AC3" s="152"/>
      <c r="AD3" s="19"/>
      <c r="AE3" s="20"/>
      <c r="AF3" s="21"/>
      <c r="AG3" s="19"/>
      <c r="AH3" s="21"/>
      <c r="AI3" s="21"/>
      <c r="AJ3" s="21"/>
      <c r="AK3" s="21"/>
      <c r="AL3" s="21"/>
      <c r="AM3" s="21"/>
      <c r="AN3" s="21"/>
      <c r="AO3" s="22"/>
      <c r="AP3" s="23"/>
      <c r="AQ3" s="24"/>
    </row>
    <row r="4" spans="1:43" s="9" customFormat="1" ht="68.25" customHeight="1" thickBot="1">
      <c r="A4" s="25"/>
      <c r="B4" s="26"/>
      <c r="C4" s="139"/>
      <c r="D4" s="27"/>
      <c r="E4" s="27"/>
      <c r="F4" s="27"/>
      <c r="G4" s="27"/>
      <c r="H4" s="27"/>
      <c r="I4" s="27"/>
      <c r="J4" s="28"/>
      <c r="K4" s="29"/>
      <c r="L4" s="27"/>
      <c r="M4" s="27"/>
      <c r="N4" s="27"/>
      <c r="O4" s="27"/>
      <c r="P4" s="30"/>
      <c r="Q4" s="31"/>
      <c r="R4" s="33" t="s">
        <v>20</v>
      </c>
      <c r="S4" s="33" t="s">
        <v>21</v>
      </c>
      <c r="T4" s="33" t="s">
        <v>22</v>
      </c>
      <c r="U4" s="32" t="s">
        <v>217</v>
      </c>
      <c r="V4" s="34"/>
      <c r="W4" s="34"/>
      <c r="X4" s="35"/>
      <c r="Y4" s="36" t="s">
        <v>23</v>
      </c>
      <c r="Z4" s="37" t="s">
        <v>24</v>
      </c>
      <c r="AA4" s="37" t="s">
        <v>25</v>
      </c>
      <c r="AB4" s="38" t="s">
        <v>26</v>
      </c>
      <c r="AC4" s="39" t="s">
        <v>27</v>
      </c>
      <c r="AD4" s="32" t="s">
        <v>25</v>
      </c>
      <c r="AE4" s="33" t="s">
        <v>26</v>
      </c>
      <c r="AF4" s="37" t="s">
        <v>28</v>
      </c>
      <c r="AG4" s="37" t="s">
        <v>25</v>
      </c>
      <c r="AH4" s="37" t="s">
        <v>26</v>
      </c>
      <c r="AI4" s="32" t="s">
        <v>29</v>
      </c>
      <c r="AJ4" s="32" t="s">
        <v>25</v>
      </c>
      <c r="AK4" s="32" t="s">
        <v>26</v>
      </c>
      <c r="AL4" s="37" t="s">
        <v>30</v>
      </c>
      <c r="AM4" s="37" t="s">
        <v>25</v>
      </c>
      <c r="AN4" s="40" t="s">
        <v>26</v>
      </c>
      <c r="AO4" s="41" t="s">
        <v>30</v>
      </c>
      <c r="AP4" s="42" t="s">
        <v>25</v>
      </c>
      <c r="AQ4" s="43" t="s">
        <v>26</v>
      </c>
    </row>
    <row r="5" spans="1:43" s="9" customFormat="1" ht="285.75" customHeight="1">
      <c r="A5" s="44" t="s">
        <v>31</v>
      </c>
      <c r="B5" s="45">
        <v>103</v>
      </c>
      <c r="C5" s="140" t="s">
        <v>199</v>
      </c>
      <c r="D5" s="46" t="s">
        <v>32</v>
      </c>
      <c r="E5" s="47" t="s">
        <v>33</v>
      </c>
      <c r="F5" s="48">
        <v>15669</v>
      </c>
      <c r="G5" s="46" t="s">
        <v>34</v>
      </c>
      <c r="H5" s="46">
        <v>2000</v>
      </c>
      <c r="I5" s="46" t="s">
        <v>35</v>
      </c>
      <c r="J5" s="49">
        <v>71456</v>
      </c>
      <c r="K5" s="46" t="s">
        <v>36</v>
      </c>
      <c r="L5" s="46" t="s">
        <v>180</v>
      </c>
      <c r="M5" s="46" t="s">
        <v>181</v>
      </c>
      <c r="N5" s="46" t="s">
        <v>37</v>
      </c>
      <c r="O5" s="46" t="s">
        <v>38</v>
      </c>
      <c r="P5" s="50" t="s">
        <v>39</v>
      </c>
      <c r="Q5" s="51">
        <f aca="true" t="shared" si="0" ref="Q5:Q21">U5</f>
        <v>31.807599999999997</v>
      </c>
      <c r="R5" s="53">
        <v>0</v>
      </c>
      <c r="S5" s="53">
        <f>416.666666666667*12/1700</f>
        <v>2.941176470588238</v>
      </c>
      <c r="T5" s="51">
        <f>(4327.19-237.78)*12/1700</f>
        <v>28.866423529411758</v>
      </c>
      <c r="U5" s="52">
        <f aca="true" t="shared" si="1" ref="U5:U21">SUM(R5:T5)</f>
        <v>31.807599999999997</v>
      </c>
      <c r="V5" s="53">
        <v>100</v>
      </c>
      <c r="W5" s="53">
        <v>100</v>
      </c>
      <c r="X5" s="46" t="s">
        <v>40</v>
      </c>
      <c r="Y5" s="53">
        <v>100</v>
      </c>
      <c r="Z5" s="54" t="s">
        <v>32</v>
      </c>
      <c r="AA5" s="55" t="s">
        <v>192</v>
      </c>
      <c r="AB5" s="56">
        <v>100</v>
      </c>
      <c r="AC5" s="46"/>
      <c r="AD5" s="46"/>
      <c r="AE5" s="53"/>
      <c r="AF5" s="54"/>
      <c r="AG5" s="54"/>
      <c r="AH5" s="57"/>
      <c r="AI5" s="46"/>
      <c r="AJ5" s="58"/>
      <c r="AK5" s="58"/>
      <c r="AL5" s="57"/>
      <c r="AM5" s="57"/>
      <c r="AN5" s="59"/>
      <c r="AO5" s="60"/>
      <c r="AP5" s="61"/>
      <c r="AQ5" s="62"/>
    </row>
    <row r="6" spans="1:43" s="9" customFormat="1" ht="166.5" customHeight="1">
      <c r="A6" s="63" t="s">
        <v>31</v>
      </c>
      <c r="B6" s="64">
        <v>103</v>
      </c>
      <c r="C6" s="78" t="s">
        <v>200</v>
      </c>
      <c r="D6" s="65" t="s">
        <v>41</v>
      </c>
      <c r="E6" s="66" t="s">
        <v>42</v>
      </c>
      <c r="F6" s="67">
        <v>3374</v>
      </c>
      <c r="G6" s="65" t="s">
        <v>43</v>
      </c>
      <c r="H6" s="65">
        <v>2000</v>
      </c>
      <c r="I6" s="65" t="s">
        <v>44</v>
      </c>
      <c r="J6" s="68">
        <v>241469</v>
      </c>
      <c r="K6" s="65" t="s">
        <v>36</v>
      </c>
      <c r="L6" s="65" t="s">
        <v>45</v>
      </c>
      <c r="M6" s="65" t="s">
        <v>46</v>
      </c>
      <c r="N6" s="65" t="s">
        <v>47</v>
      </c>
      <c r="O6" s="65" t="s">
        <v>48</v>
      </c>
      <c r="P6" s="69" t="s">
        <v>49</v>
      </c>
      <c r="Q6" s="51">
        <f t="shared" si="0"/>
        <v>38.12851764705882</v>
      </c>
      <c r="R6" s="53">
        <v>0</v>
      </c>
      <c r="S6" s="70">
        <f>1500*12/1700</f>
        <v>10.588235294117647</v>
      </c>
      <c r="T6" s="72">
        <f>3901.54*12/1700</f>
        <v>27.540282352941173</v>
      </c>
      <c r="U6" s="52">
        <f t="shared" si="1"/>
        <v>38.12851764705882</v>
      </c>
      <c r="V6" s="70">
        <v>100</v>
      </c>
      <c r="W6" s="70">
        <v>100</v>
      </c>
      <c r="X6" s="71" t="s">
        <v>50</v>
      </c>
      <c r="Y6" s="72" t="s">
        <v>51</v>
      </c>
      <c r="Z6" s="73" t="s">
        <v>41</v>
      </c>
      <c r="AA6" s="73" t="s">
        <v>42</v>
      </c>
      <c r="AB6" s="74">
        <v>100</v>
      </c>
      <c r="AC6" s="65"/>
      <c r="AD6" s="65"/>
      <c r="AE6" s="70"/>
      <c r="AF6" s="73"/>
      <c r="AG6" s="73"/>
      <c r="AH6" s="75"/>
      <c r="AI6" s="65"/>
      <c r="AJ6" s="76"/>
      <c r="AK6" s="76"/>
      <c r="AL6" s="75"/>
      <c r="AM6" s="75"/>
      <c r="AN6" s="77"/>
      <c r="AO6" s="60"/>
      <c r="AP6" s="61"/>
      <c r="AQ6" s="62"/>
    </row>
    <row r="7" spans="1:43" s="9" customFormat="1" ht="96.75" customHeight="1">
      <c r="A7" s="63" t="s">
        <v>31</v>
      </c>
      <c r="B7" s="64">
        <v>103</v>
      </c>
      <c r="C7" s="78" t="s">
        <v>201</v>
      </c>
      <c r="D7" s="65" t="s">
        <v>52</v>
      </c>
      <c r="E7" s="66" t="s">
        <v>53</v>
      </c>
      <c r="F7" s="67">
        <v>4323</v>
      </c>
      <c r="G7" s="65" t="s">
        <v>54</v>
      </c>
      <c r="H7" s="65">
        <v>2002</v>
      </c>
      <c r="I7" s="63" t="s">
        <v>55</v>
      </c>
      <c r="J7" s="68">
        <v>200030</v>
      </c>
      <c r="K7" s="65" t="s">
        <v>56</v>
      </c>
      <c r="L7" s="65" t="s">
        <v>57</v>
      </c>
      <c r="M7" s="65" t="s">
        <v>58</v>
      </c>
      <c r="N7" s="65" t="s">
        <v>59</v>
      </c>
      <c r="O7" s="65" t="s">
        <v>60</v>
      </c>
      <c r="P7" s="78" t="s">
        <v>61</v>
      </c>
      <c r="Q7" s="51">
        <f t="shared" si="0"/>
        <v>26.265435294117644</v>
      </c>
      <c r="R7" s="53">
        <v>0</v>
      </c>
      <c r="S7" s="70">
        <f>41.6666666666667*12/1700</f>
        <v>0.29411764705882376</v>
      </c>
      <c r="T7" s="72">
        <f>3679.27*12/1700</f>
        <v>25.97131764705882</v>
      </c>
      <c r="U7" s="52">
        <f t="shared" si="1"/>
        <v>26.265435294117644</v>
      </c>
      <c r="V7" s="70">
        <v>100</v>
      </c>
      <c r="W7" s="70">
        <v>100</v>
      </c>
      <c r="X7" s="65" t="s">
        <v>62</v>
      </c>
      <c r="Y7" s="70">
        <v>100</v>
      </c>
      <c r="Z7" s="79" t="s">
        <v>52</v>
      </c>
      <c r="AA7" s="55" t="s">
        <v>53</v>
      </c>
      <c r="AB7" s="74">
        <v>80</v>
      </c>
      <c r="AC7" s="80" t="s">
        <v>63</v>
      </c>
      <c r="AD7" s="65"/>
      <c r="AE7" s="70">
        <v>20</v>
      </c>
      <c r="AF7" s="79"/>
      <c r="AG7" s="73"/>
      <c r="AH7" s="75"/>
      <c r="AI7" s="81"/>
      <c r="AJ7" s="76"/>
      <c r="AK7" s="76"/>
      <c r="AL7" s="75"/>
      <c r="AM7" s="75"/>
      <c r="AN7" s="77"/>
      <c r="AO7" s="60"/>
      <c r="AP7" s="61"/>
      <c r="AQ7" s="62"/>
    </row>
    <row r="8" spans="1:43" s="9" customFormat="1" ht="127.5">
      <c r="A8" s="82" t="s">
        <v>31</v>
      </c>
      <c r="B8" s="64">
        <v>103</v>
      </c>
      <c r="C8" s="78" t="s">
        <v>202</v>
      </c>
      <c r="D8" s="65" t="s">
        <v>64</v>
      </c>
      <c r="E8" s="66" t="s">
        <v>65</v>
      </c>
      <c r="F8" s="67">
        <v>14126</v>
      </c>
      <c r="G8" s="83" t="s">
        <v>66</v>
      </c>
      <c r="H8" s="65">
        <v>2002</v>
      </c>
      <c r="I8" s="83" t="s">
        <v>67</v>
      </c>
      <c r="J8" s="68">
        <v>117885</v>
      </c>
      <c r="K8" s="65" t="s">
        <v>56</v>
      </c>
      <c r="L8" s="65" t="s">
        <v>57</v>
      </c>
      <c r="M8" s="65" t="s">
        <v>58</v>
      </c>
      <c r="N8" s="83" t="s">
        <v>68</v>
      </c>
      <c r="O8" s="83" t="s">
        <v>69</v>
      </c>
      <c r="P8" s="69" t="s">
        <v>70</v>
      </c>
      <c r="Q8" s="72">
        <f t="shared" si="0"/>
        <v>27.921811764705883</v>
      </c>
      <c r="R8" s="70">
        <v>0</v>
      </c>
      <c r="S8" s="70">
        <f>25*12/1700</f>
        <v>0.17647058823529413</v>
      </c>
      <c r="T8" s="72">
        <f>3930.59*12/1700</f>
        <v>27.74534117647059</v>
      </c>
      <c r="U8" s="52">
        <f t="shared" si="1"/>
        <v>27.921811764705883</v>
      </c>
      <c r="V8" s="70">
        <v>100</v>
      </c>
      <c r="W8" s="70">
        <v>100</v>
      </c>
      <c r="X8" s="46" t="s">
        <v>40</v>
      </c>
      <c r="Y8" s="70">
        <v>100</v>
      </c>
      <c r="Z8" s="73" t="s">
        <v>64</v>
      </c>
      <c r="AA8" s="73" t="s">
        <v>65</v>
      </c>
      <c r="AB8" s="74">
        <v>40</v>
      </c>
      <c r="AC8" s="65" t="s">
        <v>71</v>
      </c>
      <c r="AD8" s="65" t="s">
        <v>193</v>
      </c>
      <c r="AE8" s="70">
        <v>40</v>
      </c>
      <c r="AF8" s="73" t="s">
        <v>72</v>
      </c>
      <c r="AG8" s="73"/>
      <c r="AH8" s="75">
        <v>10</v>
      </c>
      <c r="AI8" s="65" t="s">
        <v>73</v>
      </c>
      <c r="AJ8" s="76"/>
      <c r="AK8" s="76">
        <v>10</v>
      </c>
      <c r="AL8" s="75"/>
      <c r="AM8" s="75"/>
      <c r="AN8" s="77"/>
      <c r="AO8" s="60"/>
      <c r="AP8" s="61"/>
      <c r="AQ8" s="62"/>
    </row>
    <row r="9" spans="1:43" s="9" customFormat="1" ht="102">
      <c r="A9" s="63" t="s">
        <v>31</v>
      </c>
      <c r="B9" s="64">
        <v>103</v>
      </c>
      <c r="C9" s="78" t="s">
        <v>203</v>
      </c>
      <c r="D9" s="65" t="s">
        <v>74</v>
      </c>
      <c r="E9" s="66" t="s">
        <v>75</v>
      </c>
      <c r="F9" s="67">
        <v>868</v>
      </c>
      <c r="G9" s="65" t="s">
        <v>76</v>
      </c>
      <c r="H9" s="65">
        <v>2003</v>
      </c>
      <c r="I9" s="65" t="s">
        <v>77</v>
      </c>
      <c r="J9" s="68">
        <v>51948</v>
      </c>
      <c r="K9" s="65" t="s">
        <v>56</v>
      </c>
      <c r="L9" s="65" t="s">
        <v>78</v>
      </c>
      <c r="M9" s="65" t="s">
        <v>79</v>
      </c>
      <c r="N9" s="65" t="s">
        <v>80</v>
      </c>
      <c r="O9" s="65" t="s">
        <v>81</v>
      </c>
      <c r="P9" s="69" t="s">
        <v>82</v>
      </c>
      <c r="Q9" s="72">
        <f t="shared" si="0"/>
        <v>46.81357647058824</v>
      </c>
      <c r="R9" s="70">
        <v>0</v>
      </c>
      <c r="S9" s="70">
        <f>833.333333333333*12/1700</f>
        <v>5.882352941176468</v>
      </c>
      <c r="T9" s="72">
        <f>5798.59*12/1700</f>
        <v>40.93122352941177</v>
      </c>
      <c r="U9" s="52">
        <f t="shared" si="1"/>
        <v>46.81357647058824</v>
      </c>
      <c r="V9" s="70">
        <v>100</v>
      </c>
      <c r="W9" s="70">
        <v>100</v>
      </c>
      <c r="X9" s="46" t="s">
        <v>40</v>
      </c>
      <c r="Y9" s="70">
        <v>100</v>
      </c>
      <c r="Z9" s="73" t="s">
        <v>83</v>
      </c>
      <c r="AA9" s="73" t="s">
        <v>194</v>
      </c>
      <c r="AB9" s="74">
        <v>16</v>
      </c>
      <c r="AC9" s="65" t="s">
        <v>41</v>
      </c>
      <c r="AD9" s="65" t="s">
        <v>42</v>
      </c>
      <c r="AE9" s="70">
        <v>16</v>
      </c>
      <c r="AF9" s="73" t="s">
        <v>84</v>
      </c>
      <c r="AG9" s="73" t="s">
        <v>195</v>
      </c>
      <c r="AH9" s="75">
        <v>23</v>
      </c>
      <c r="AI9" s="65" t="s">
        <v>73</v>
      </c>
      <c r="AJ9" s="76"/>
      <c r="AK9" s="76">
        <v>9</v>
      </c>
      <c r="AL9" s="75" t="s">
        <v>85</v>
      </c>
      <c r="AM9" s="75" t="s">
        <v>75</v>
      </c>
      <c r="AN9" s="77">
        <v>26</v>
      </c>
      <c r="AO9" s="84" t="s">
        <v>86</v>
      </c>
      <c r="AP9" s="61"/>
      <c r="AQ9" s="62">
        <v>10</v>
      </c>
    </row>
    <row r="10" spans="1:43" s="9" customFormat="1" ht="229.5">
      <c r="A10" s="63" t="s">
        <v>31</v>
      </c>
      <c r="B10" s="64">
        <v>103</v>
      </c>
      <c r="C10" s="78" t="s">
        <v>204</v>
      </c>
      <c r="D10" s="65" t="s">
        <v>87</v>
      </c>
      <c r="E10" s="66" t="s">
        <v>88</v>
      </c>
      <c r="F10" s="67">
        <v>6707</v>
      </c>
      <c r="G10" s="65" t="s">
        <v>89</v>
      </c>
      <c r="H10" s="65">
        <v>2003</v>
      </c>
      <c r="I10" s="65" t="s">
        <v>90</v>
      </c>
      <c r="J10" s="68">
        <v>43086.04</v>
      </c>
      <c r="K10" s="65" t="s">
        <v>56</v>
      </c>
      <c r="L10" s="85" t="s">
        <v>182</v>
      </c>
      <c r="M10" s="85" t="s">
        <v>183</v>
      </c>
      <c r="N10" s="65" t="s">
        <v>91</v>
      </c>
      <c r="O10" s="65" t="s">
        <v>92</v>
      </c>
      <c r="P10" s="69" t="s">
        <v>93</v>
      </c>
      <c r="Q10" s="72">
        <f t="shared" si="0"/>
        <v>28.333576470588234</v>
      </c>
      <c r="R10" s="70">
        <v>0</v>
      </c>
      <c r="S10" s="70">
        <f>83.3333333333333*12/1700</f>
        <v>0.5882352941176467</v>
      </c>
      <c r="T10" s="72">
        <f>3930.59*12/1700</f>
        <v>27.74534117647059</v>
      </c>
      <c r="U10" s="52">
        <f t="shared" si="1"/>
        <v>28.333576470588234</v>
      </c>
      <c r="V10" s="70">
        <v>100</v>
      </c>
      <c r="W10" s="70">
        <v>100</v>
      </c>
      <c r="X10" s="46" t="s">
        <v>40</v>
      </c>
      <c r="Y10" s="70">
        <v>100</v>
      </c>
      <c r="Z10" s="73" t="s">
        <v>64</v>
      </c>
      <c r="AA10" s="73" t="s">
        <v>65</v>
      </c>
      <c r="AB10" s="74">
        <v>40</v>
      </c>
      <c r="AC10" s="65" t="s">
        <v>94</v>
      </c>
      <c r="AD10" s="65"/>
      <c r="AE10" s="70">
        <v>30</v>
      </c>
      <c r="AF10" s="73" t="s">
        <v>94</v>
      </c>
      <c r="AG10" s="73"/>
      <c r="AH10" s="75">
        <v>30</v>
      </c>
      <c r="AI10" s="65"/>
      <c r="AJ10" s="76"/>
      <c r="AK10" s="76"/>
      <c r="AL10" s="75"/>
      <c r="AM10" s="75"/>
      <c r="AN10" s="77"/>
      <c r="AO10" s="60"/>
      <c r="AP10" s="61"/>
      <c r="AQ10" s="62"/>
    </row>
    <row r="11" spans="1:43" s="9" customFormat="1" ht="76.5">
      <c r="A11" s="63" t="s">
        <v>95</v>
      </c>
      <c r="B11" s="64">
        <v>103</v>
      </c>
      <c r="C11" s="78" t="s">
        <v>201</v>
      </c>
      <c r="D11" s="65" t="s">
        <v>52</v>
      </c>
      <c r="E11" s="66" t="s">
        <v>96</v>
      </c>
      <c r="F11" s="86">
        <v>23386</v>
      </c>
      <c r="G11" s="65" t="s">
        <v>97</v>
      </c>
      <c r="H11" s="65">
        <v>2006</v>
      </c>
      <c r="I11" s="65" t="s">
        <v>98</v>
      </c>
      <c r="J11" s="68">
        <v>410002</v>
      </c>
      <c r="K11" s="65" t="s">
        <v>99</v>
      </c>
      <c r="L11" s="65" t="s">
        <v>57</v>
      </c>
      <c r="M11" s="65" t="s">
        <v>58</v>
      </c>
      <c r="N11" s="65" t="s">
        <v>100</v>
      </c>
      <c r="O11" s="65" t="s">
        <v>101</v>
      </c>
      <c r="P11" s="69" t="s">
        <v>102</v>
      </c>
      <c r="Q11" s="72">
        <f t="shared" si="0"/>
        <v>55.90903529411764</v>
      </c>
      <c r="R11" s="70">
        <f>44394.12/1700</f>
        <v>26.11418823529412</v>
      </c>
      <c r="S11" s="70">
        <f>6500/1700</f>
        <v>3.823529411764706</v>
      </c>
      <c r="T11" s="72">
        <f>3679.27*12/1700</f>
        <v>25.97131764705882</v>
      </c>
      <c r="U11" s="52">
        <f t="shared" si="1"/>
        <v>55.90903529411764</v>
      </c>
      <c r="V11" s="70">
        <v>100</v>
      </c>
      <c r="W11" s="70">
        <v>96.67</v>
      </c>
      <c r="X11" s="46" t="s">
        <v>40</v>
      </c>
      <c r="Y11" s="70">
        <v>100</v>
      </c>
      <c r="Z11" s="79" t="s">
        <v>52</v>
      </c>
      <c r="AA11" s="73" t="s">
        <v>53</v>
      </c>
      <c r="AB11" s="74"/>
      <c r="AC11" s="81"/>
      <c r="AD11" s="65"/>
      <c r="AE11" s="70"/>
      <c r="AF11" s="79"/>
      <c r="AG11" s="73"/>
      <c r="AH11" s="75"/>
      <c r="AI11" s="81"/>
      <c r="AJ11" s="76"/>
      <c r="AK11" s="76"/>
      <c r="AL11" s="75"/>
      <c r="AM11" s="75"/>
      <c r="AN11" s="77"/>
      <c r="AO11" s="60"/>
      <c r="AP11" s="61"/>
      <c r="AQ11" s="62"/>
    </row>
    <row r="12" spans="1:43" s="9" customFormat="1" ht="344.25">
      <c r="A12" s="63" t="s">
        <v>95</v>
      </c>
      <c r="B12" s="64">
        <v>103</v>
      </c>
      <c r="C12" s="78" t="s">
        <v>200</v>
      </c>
      <c r="D12" s="65" t="s">
        <v>41</v>
      </c>
      <c r="E12" s="66" t="s">
        <v>103</v>
      </c>
      <c r="F12" s="87" t="s">
        <v>104</v>
      </c>
      <c r="G12" s="65" t="s">
        <v>105</v>
      </c>
      <c r="H12" s="65">
        <v>2005</v>
      </c>
      <c r="I12" s="65" t="s">
        <v>106</v>
      </c>
      <c r="J12" s="68">
        <v>296384</v>
      </c>
      <c r="K12" s="65" t="s">
        <v>99</v>
      </c>
      <c r="L12" s="65" t="s">
        <v>228</v>
      </c>
      <c r="M12" s="65" t="s">
        <v>229</v>
      </c>
      <c r="N12" s="65" t="s">
        <v>184</v>
      </c>
      <c r="O12" s="65" t="s">
        <v>185</v>
      </c>
      <c r="P12" s="69" t="s">
        <v>107</v>
      </c>
      <c r="Q12" s="72">
        <f t="shared" si="0"/>
        <v>52.192235294117665</v>
      </c>
      <c r="R12" s="70">
        <f>21908.32/1700</f>
        <v>12.88724705882353</v>
      </c>
      <c r="S12" s="70">
        <f>1666.66666666667*12/1700</f>
        <v>11.764705882352965</v>
      </c>
      <c r="T12" s="72">
        <f>3901.54*12/1700</f>
        <v>27.540282352941173</v>
      </c>
      <c r="U12" s="52">
        <f t="shared" si="1"/>
        <v>52.192235294117665</v>
      </c>
      <c r="V12" s="70">
        <v>100</v>
      </c>
      <c r="W12" s="70">
        <v>100</v>
      </c>
      <c r="X12" s="46" t="s">
        <v>40</v>
      </c>
      <c r="Y12" s="70">
        <v>100</v>
      </c>
      <c r="Z12" s="73" t="s">
        <v>41</v>
      </c>
      <c r="AA12" s="73" t="s">
        <v>42</v>
      </c>
      <c r="AB12" s="74">
        <v>60</v>
      </c>
      <c r="AC12" s="65" t="s">
        <v>108</v>
      </c>
      <c r="AD12" s="65" t="s">
        <v>194</v>
      </c>
      <c r="AE12" s="70">
        <v>30</v>
      </c>
      <c r="AF12" s="73" t="s">
        <v>73</v>
      </c>
      <c r="AG12" s="73"/>
      <c r="AH12" s="75">
        <v>10</v>
      </c>
      <c r="AI12" s="65"/>
      <c r="AJ12" s="76"/>
      <c r="AK12" s="76"/>
      <c r="AL12" s="75"/>
      <c r="AM12" s="75"/>
      <c r="AN12" s="77"/>
      <c r="AO12" s="60"/>
      <c r="AP12" s="61"/>
      <c r="AQ12" s="62"/>
    </row>
    <row r="13" spans="1:43" s="9" customFormat="1" ht="204">
      <c r="A13" s="63" t="s">
        <v>95</v>
      </c>
      <c r="B13" s="64">
        <v>103</v>
      </c>
      <c r="C13" s="78" t="s">
        <v>202</v>
      </c>
      <c r="D13" s="65" t="s">
        <v>64</v>
      </c>
      <c r="E13" s="66" t="s">
        <v>65</v>
      </c>
      <c r="F13" s="67">
        <v>14126</v>
      </c>
      <c r="G13" s="65" t="s">
        <v>109</v>
      </c>
      <c r="H13" s="65">
        <v>2005</v>
      </c>
      <c r="I13" s="83" t="s">
        <v>110</v>
      </c>
      <c r="J13" s="68">
        <v>133819</v>
      </c>
      <c r="K13" s="65" t="s">
        <v>99</v>
      </c>
      <c r="L13" s="65" t="s">
        <v>57</v>
      </c>
      <c r="M13" s="65" t="s">
        <v>58</v>
      </c>
      <c r="N13" s="83" t="s">
        <v>111</v>
      </c>
      <c r="O13" s="83" t="s">
        <v>112</v>
      </c>
      <c r="P13" s="69" t="s">
        <v>113</v>
      </c>
      <c r="Q13" s="72">
        <f t="shared" si="0"/>
        <v>36.453888235294116</v>
      </c>
      <c r="R13" s="70">
        <f>12304.53/1700</f>
        <v>7.2379588235294126</v>
      </c>
      <c r="S13" s="70">
        <f>208.333333333333*12/1700</f>
        <v>1.4705882352941153</v>
      </c>
      <c r="T13" s="72">
        <f>3930.59*12/1700</f>
        <v>27.74534117647059</v>
      </c>
      <c r="U13" s="52">
        <f t="shared" si="1"/>
        <v>36.453888235294116</v>
      </c>
      <c r="V13" s="70">
        <v>100</v>
      </c>
      <c r="W13" s="70">
        <v>100</v>
      </c>
      <c r="X13" s="46" t="s">
        <v>40</v>
      </c>
      <c r="Y13" s="70">
        <v>100</v>
      </c>
      <c r="Z13" s="73" t="s">
        <v>64</v>
      </c>
      <c r="AA13" s="73" t="s">
        <v>65</v>
      </c>
      <c r="AB13" s="74">
        <v>40</v>
      </c>
      <c r="AC13" s="65" t="s">
        <v>71</v>
      </c>
      <c r="AD13" s="65" t="s">
        <v>193</v>
      </c>
      <c r="AE13" s="70">
        <v>10</v>
      </c>
      <c r="AF13" s="73" t="s">
        <v>114</v>
      </c>
      <c r="AG13" s="73"/>
      <c r="AH13" s="75">
        <v>30</v>
      </c>
      <c r="AI13" s="65" t="s">
        <v>72</v>
      </c>
      <c r="AJ13" s="76"/>
      <c r="AK13" s="76">
        <v>10</v>
      </c>
      <c r="AL13" s="75" t="s">
        <v>73</v>
      </c>
      <c r="AM13" s="75"/>
      <c r="AN13" s="77"/>
      <c r="AO13" s="60"/>
      <c r="AP13" s="61"/>
      <c r="AQ13" s="62">
        <v>10</v>
      </c>
    </row>
    <row r="14" spans="1:43" s="9" customFormat="1" ht="267.75">
      <c r="A14" s="63" t="s">
        <v>95</v>
      </c>
      <c r="B14" s="64">
        <v>103</v>
      </c>
      <c r="C14" s="78" t="s">
        <v>199</v>
      </c>
      <c r="D14" s="65" t="s">
        <v>32</v>
      </c>
      <c r="E14" s="66" t="s">
        <v>115</v>
      </c>
      <c r="F14" s="67">
        <v>872</v>
      </c>
      <c r="G14" s="65" t="s">
        <v>116</v>
      </c>
      <c r="H14" s="65">
        <v>2004</v>
      </c>
      <c r="I14" s="65" t="s">
        <v>117</v>
      </c>
      <c r="J14" s="68">
        <v>85342</v>
      </c>
      <c r="K14" s="65" t="s">
        <v>99</v>
      </c>
      <c r="L14" s="65" t="s">
        <v>180</v>
      </c>
      <c r="M14" s="65" t="s">
        <v>181</v>
      </c>
      <c r="N14" s="65" t="s">
        <v>118</v>
      </c>
      <c r="O14" s="65" t="s">
        <v>119</v>
      </c>
      <c r="P14" s="69" t="s">
        <v>120</v>
      </c>
      <c r="Q14" s="72">
        <f t="shared" si="0"/>
        <v>32.395835294117646</v>
      </c>
      <c r="R14" s="70">
        <v>0</v>
      </c>
      <c r="S14" s="70">
        <f>500*12/1700</f>
        <v>3.5294117647058822</v>
      </c>
      <c r="T14" s="72">
        <f>4089.41*12/1700</f>
        <v>28.866423529411765</v>
      </c>
      <c r="U14" s="52">
        <f t="shared" si="1"/>
        <v>32.395835294117646</v>
      </c>
      <c r="V14" s="70">
        <v>100</v>
      </c>
      <c r="W14" s="70">
        <v>100</v>
      </c>
      <c r="X14" s="65" t="s">
        <v>40</v>
      </c>
      <c r="Y14" s="70">
        <v>100</v>
      </c>
      <c r="Z14" s="73" t="s">
        <v>32</v>
      </c>
      <c r="AA14" s="55" t="s">
        <v>192</v>
      </c>
      <c r="AB14" s="74">
        <v>100</v>
      </c>
      <c r="AC14" s="65"/>
      <c r="AD14" s="65"/>
      <c r="AE14" s="70"/>
      <c r="AF14" s="73"/>
      <c r="AG14" s="73"/>
      <c r="AH14" s="75"/>
      <c r="AI14" s="65" t="s">
        <v>121</v>
      </c>
      <c r="AJ14" s="76"/>
      <c r="AK14" s="76"/>
      <c r="AL14" s="75"/>
      <c r="AM14" s="75"/>
      <c r="AN14" s="77"/>
      <c r="AO14" s="60"/>
      <c r="AP14" s="61"/>
      <c r="AQ14" s="62"/>
    </row>
    <row r="15" spans="1:43" s="9" customFormat="1" ht="191.25">
      <c r="A15" s="63" t="s">
        <v>95</v>
      </c>
      <c r="B15" s="64">
        <v>103</v>
      </c>
      <c r="C15" s="78" t="s">
        <v>199</v>
      </c>
      <c r="D15" s="65" t="s">
        <v>32</v>
      </c>
      <c r="E15" s="66" t="s">
        <v>122</v>
      </c>
      <c r="F15" s="87" t="s">
        <v>215</v>
      </c>
      <c r="G15" s="65" t="s">
        <v>123</v>
      </c>
      <c r="H15" s="65">
        <v>2007</v>
      </c>
      <c r="I15" s="65" t="s">
        <v>124</v>
      </c>
      <c r="J15" s="68">
        <v>150157</v>
      </c>
      <c r="K15" s="65" t="s">
        <v>125</v>
      </c>
      <c r="L15" s="65" t="s">
        <v>230</v>
      </c>
      <c r="M15" s="65" t="s">
        <v>231</v>
      </c>
      <c r="N15" s="65" t="s">
        <v>126</v>
      </c>
      <c r="O15" s="65" t="s">
        <v>127</v>
      </c>
      <c r="P15" s="69" t="s">
        <v>128</v>
      </c>
      <c r="Q15" s="72">
        <f t="shared" si="0"/>
        <v>50.21868235294117</v>
      </c>
      <c r="R15" s="70">
        <f>26298.84/1700</f>
        <v>15.469905882352942</v>
      </c>
      <c r="S15" s="70">
        <f>833.333333333333*12/1700</f>
        <v>5.882352941176468</v>
      </c>
      <c r="T15" s="72">
        <f>4089.41*12/1700</f>
        <v>28.866423529411765</v>
      </c>
      <c r="U15" s="52">
        <f t="shared" si="1"/>
        <v>50.21868235294117</v>
      </c>
      <c r="V15" s="70">
        <v>100</v>
      </c>
      <c r="W15" s="70">
        <v>66</v>
      </c>
      <c r="X15" s="65" t="s">
        <v>40</v>
      </c>
      <c r="Y15" s="70">
        <v>100</v>
      </c>
      <c r="Z15" s="73" t="s">
        <v>32</v>
      </c>
      <c r="AA15" s="73" t="s">
        <v>192</v>
      </c>
      <c r="AB15" s="74">
        <v>100</v>
      </c>
      <c r="AC15" s="65"/>
      <c r="AD15" s="65"/>
      <c r="AE15" s="70"/>
      <c r="AF15" s="73"/>
      <c r="AG15" s="73"/>
      <c r="AH15" s="75"/>
      <c r="AI15" s="65"/>
      <c r="AJ15" s="76"/>
      <c r="AK15" s="76"/>
      <c r="AL15" s="75"/>
      <c r="AM15" s="75"/>
      <c r="AN15" s="77"/>
      <c r="AO15" s="60"/>
      <c r="AP15" s="61"/>
      <c r="AQ15" s="62"/>
    </row>
    <row r="16" spans="1:43" s="9" customFormat="1" ht="69.75" customHeight="1">
      <c r="A16" s="63" t="s">
        <v>95</v>
      </c>
      <c r="B16" s="64">
        <v>103</v>
      </c>
      <c r="C16" s="78" t="s">
        <v>200</v>
      </c>
      <c r="D16" s="65" t="s">
        <v>41</v>
      </c>
      <c r="E16" s="66" t="s">
        <v>129</v>
      </c>
      <c r="F16" s="87" t="s">
        <v>130</v>
      </c>
      <c r="G16" s="65" t="s">
        <v>131</v>
      </c>
      <c r="H16" s="65">
        <v>2007</v>
      </c>
      <c r="I16" s="65" t="s">
        <v>132</v>
      </c>
      <c r="J16" s="68">
        <v>48075</v>
      </c>
      <c r="K16" s="65" t="s">
        <v>125</v>
      </c>
      <c r="L16" s="65" t="s">
        <v>57</v>
      </c>
      <c r="M16" s="65" t="s">
        <v>58</v>
      </c>
      <c r="N16" s="65" t="s">
        <v>133</v>
      </c>
      <c r="O16" s="65" t="s">
        <v>134</v>
      </c>
      <c r="P16" s="69" t="s">
        <v>135</v>
      </c>
      <c r="Q16" s="72">
        <f t="shared" si="0"/>
        <v>33.149011764705875</v>
      </c>
      <c r="R16" s="70">
        <f>9534.84/1700</f>
        <v>5.608729411764706</v>
      </c>
      <c r="S16" s="70">
        <v>0</v>
      </c>
      <c r="T16" s="72">
        <f>3901.54*12/1700</f>
        <v>27.540282352941173</v>
      </c>
      <c r="U16" s="52">
        <f t="shared" si="1"/>
        <v>33.149011764705875</v>
      </c>
      <c r="V16" s="70">
        <v>100</v>
      </c>
      <c r="W16" s="70">
        <v>73.33</v>
      </c>
      <c r="X16" s="65" t="s">
        <v>40</v>
      </c>
      <c r="Y16" s="70">
        <v>100</v>
      </c>
      <c r="Z16" s="73" t="s">
        <v>41</v>
      </c>
      <c r="AA16" s="55" t="s">
        <v>42</v>
      </c>
      <c r="AB16" s="88">
        <v>0.33</v>
      </c>
      <c r="AC16" s="65" t="s">
        <v>108</v>
      </c>
      <c r="AD16" s="89" t="s">
        <v>194</v>
      </c>
      <c r="AE16" s="90">
        <v>0.33</v>
      </c>
      <c r="AF16" s="55" t="s">
        <v>72</v>
      </c>
      <c r="AG16" s="55"/>
      <c r="AH16" s="88">
        <v>0.33</v>
      </c>
      <c r="AI16" s="65"/>
      <c r="AJ16" s="76"/>
      <c r="AK16" s="76"/>
      <c r="AL16" s="75"/>
      <c r="AM16" s="75"/>
      <c r="AN16" s="77"/>
      <c r="AO16" s="60"/>
      <c r="AP16" s="61"/>
      <c r="AQ16" s="62"/>
    </row>
    <row r="17" spans="1:43" ht="38.25">
      <c r="A17" s="63" t="s">
        <v>95</v>
      </c>
      <c r="B17" s="64">
        <v>103</v>
      </c>
      <c r="C17" s="78" t="s">
        <v>201</v>
      </c>
      <c r="D17" s="91" t="s">
        <v>52</v>
      </c>
      <c r="E17" s="92" t="s">
        <v>136</v>
      </c>
      <c r="F17" s="86">
        <v>6117</v>
      </c>
      <c r="G17" s="65" t="s">
        <v>137</v>
      </c>
      <c r="H17" s="65">
        <v>2003</v>
      </c>
      <c r="I17" s="93" t="s">
        <v>138</v>
      </c>
      <c r="J17" s="68">
        <v>40530.74</v>
      </c>
      <c r="K17" s="65" t="s">
        <v>139</v>
      </c>
      <c r="L17" s="91" t="s">
        <v>57</v>
      </c>
      <c r="M17" s="93" t="s">
        <v>58</v>
      </c>
      <c r="N17" s="93" t="s">
        <v>140</v>
      </c>
      <c r="O17" s="93" t="s">
        <v>141</v>
      </c>
      <c r="P17" s="94" t="s">
        <v>142</v>
      </c>
      <c r="Q17" s="72">
        <f t="shared" si="0"/>
        <v>27.736023529411764</v>
      </c>
      <c r="R17" s="95">
        <v>0</v>
      </c>
      <c r="S17" s="95">
        <f>250*12/1700</f>
        <v>1.7647058823529411</v>
      </c>
      <c r="T17" s="97">
        <f>3679.27*12/1700</f>
        <v>25.97131764705882</v>
      </c>
      <c r="U17" s="52">
        <f t="shared" si="1"/>
        <v>27.736023529411764</v>
      </c>
      <c r="V17" s="95">
        <v>100</v>
      </c>
      <c r="W17" s="95">
        <v>100</v>
      </c>
      <c r="X17" s="93" t="s">
        <v>40</v>
      </c>
      <c r="Y17" s="95">
        <v>100</v>
      </c>
      <c r="Z17" s="96" t="s">
        <v>52</v>
      </c>
      <c r="AA17" s="73" t="s">
        <v>53</v>
      </c>
      <c r="AB17" s="74">
        <v>90</v>
      </c>
      <c r="AC17" s="80" t="s">
        <v>72</v>
      </c>
      <c r="AD17" s="93"/>
      <c r="AE17" s="95">
        <v>10</v>
      </c>
      <c r="AF17" s="79"/>
      <c r="AG17" s="73"/>
      <c r="AH17" s="75"/>
      <c r="AI17" s="81"/>
      <c r="AJ17" s="91"/>
      <c r="AK17" s="91"/>
      <c r="AL17" s="75"/>
      <c r="AM17" s="75"/>
      <c r="AN17" s="77"/>
      <c r="AO17" s="60"/>
      <c r="AP17" s="61"/>
      <c r="AQ17" s="62"/>
    </row>
    <row r="18" spans="1:43" ht="109.5" customHeight="1">
      <c r="A18" s="63" t="s">
        <v>95</v>
      </c>
      <c r="B18" s="64">
        <v>103</v>
      </c>
      <c r="C18" s="78" t="s">
        <v>201</v>
      </c>
      <c r="D18" s="91" t="s">
        <v>52</v>
      </c>
      <c r="E18" s="92" t="s">
        <v>143</v>
      </c>
      <c r="F18" s="86">
        <v>13530</v>
      </c>
      <c r="G18" s="65" t="s">
        <v>144</v>
      </c>
      <c r="H18" s="65">
        <v>2007</v>
      </c>
      <c r="I18" s="93" t="s">
        <v>145</v>
      </c>
      <c r="J18" s="68">
        <v>86603.38</v>
      </c>
      <c r="K18" s="65" t="s">
        <v>139</v>
      </c>
      <c r="L18" s="91" t="s">
        <v>57</v>
      </c>
      <c r="M18" s="93" t="s">
        <v>58</v>
      </c>
      <c r="N18" s="93" t="s">
        <v>146</v>
      </c>
      <c r="O18" s="93" t="s">
        <v>147</v>
      </c>
      <c r="P18" s="94" t="s">
        <v>148</v>
      </c>
      <c r="Q18" s="72">
        <f t="shared" si="0"/>
        <v>36.37945882352941</v>
      </c>
      <c r="R18" s="95">
        <f>17327.88/1700</f>
        <v>10.192870588235294</v>
      </c>
      <c r="S18" s="97">
        <f>541.666666666667*12/1700</f>
        <v>3.823529411764708</v>
      </c>
      <c r="T18" s="97">
        <f>3168.1*12/1700</f>
        <v>22.36305882352941</v>
      </c>
      <c r="U18" s="52">
        <f t="shared" si="1"/>
        <v>36.37945882352941</v>
      </c>
      <c r="V18" s="95">
        <v>100</v>
      </c>
      <c r="W18" s="95">
        <v>35</v>
      </c>
      <c r="X18" s="93" t="s">
        <v>149</v>
      </c>
      <c r="Y18" s="95">
        <v>100</v>
      </c>
      <c r="Z18" s="79" t="s">
        <v>52</v>
      </c>
      <c r="AA18" s="55" t="s">
        <v>53</v>
      </c>
      <c r="AB18" s="74">
        <v>100</v>
      </c>
      <c r="AC18" s="81"/>
      <c r="AD18" s="93"/>
      <c r="AE18" s="95"/>
      <c r="AF18" s="79"/>
      <c r="AG18" s="73"/>
      <c r="AH18" s="75"/>
      <c r="AI18" s="81"/>
      <c r="AJ18" s="91"/>
      <c r="AK18" s="91"/>
      <c r="AL18" s="75"/>
      <c r="AM18" s="75"/>
      <c r="AN18" s="77"/>
      <c r="AO18" s="60"/>
      <c r="AP18" s="61"/>
      <c r="AQ18" s="62"/>
    </row>
    <row r="19" spans="1:43" ht="117.75" customHeight="1">
      <c r="A19" s="63" t="s">
        <v>95</v>
      </c>
      <c r="B19" s="64">
        <v>103</v>
      </c>
      <c r="C19" s="78" t="s">
        <v>201</v>
      </c>
      <c r="D19" s="91" t="s">
        <v>52</v>
      </c>
      <c r="E19" s="92" t="s">
        <v>150</v>
      </c>
      <c r="F19" s="86">
        <v>17844</v>
      </c>
      <c r="G19" s="65" t="s">
        <v>151</v>
      </c>
      <c r="H19" s="65">
        <v>2007</v>
      </c>
      <c r="I19" s="93" t="s">
        <v>152</v>
      </c>
      <c r="J19" s="68">
        <v>41345.96</v>
      </c>
      <c r="K19" s="65" t="s">
        <v>139</v>
      </c>
      <c r="L19" s="91" t="s">
        <v>57</v>
      </c>
      <c r="M19" s="93" t="s">
        <v>153</v>
      </c>
      <c r="N19" s="93" t="s">
        <v>154</v>
      </c>
      <c r="O19" s="93" t="s">
        <v>155</v>
      </c>
      <c r="P19" s="94" t="s">
        <v>156</v>
      </c>
      <c r="Q19" s="72">
        <f t="shared" si="0"/>
        <v>28.706058823529407</v>
      </c>
      <c r="R19" s="95">
        <f>8283.1/1700</f>
        <v>4.872411764705882</v>
      </c>
      <c r="S19" s="97">
        <f>208.333333333333*12/1700</f>
        <v>1.4705882352941153</v>
      </c>
      <c r="T19" s="97">
        <f>3168.1*12/1700</f>
        <v>22.36305882352941</v>
      </c>
      <c r="U19" s="52">
        <f t="shared" si="1"/>
        <v>28.706058823529407</v>
      </c>
      <c r="V19" s="95">
        <v>100</v>
      </c>
      <c r="W19" s="95">
        <v>68.33</v>
      </c>
      <c r="X19" s="93" t="s">
        <v>149</v>
      </c>
      <c r="Y19" s="95">
        <v>100</v>
      </c>
      <c r="Z19" s="79" t="s">
        <v>52</v>
      </c>
      <c r="AA19" s="55" t="s">
        <v>53</v>
      </c>
      <c r="AB19" s="88">
        <v>0.2</v>
      </c>
      <c r="AC19" s="81" t="s">
        <v>157</v>
      </c>
      <c r="AD19" s="91"/>
      <c r="AE19" s="98">
        <v>0.3</v>
      </c>
      <c r="AF19" s="79" t="s">
        <v>158</v>
      </c>
      <c r="AG19" s="75" t="s">
        <v>196</v>
      </c>
      <c r="AH19" s="88">
        <v>0.4</v>
      </c>
      <c r="AI19" s="81" t="s">
        <v>159</v>
      </c>
      <c r="AJ19" s="91"/>
      <c r="AK19" s="98">
        <v>0.1</v>
      </c>
      <c r="AL19" s="75"/>
      <c r="AM19" s="75"/>
      <c r="AN19" s="77"/>
      <c r="AO19" s="60"/>
      <c r="AP19" s="61"/>
      <c r="AQ19" s="62"/>
    </row>
    <row r="20" spans="1:43" ht="165.75">
      <c r="A20" s="63" t="s">
        <v>95</v>
      </c>
      <c r="B20" s="64">
        <v>103</v>
      </c>
      <c r="C20" s="78" t="s">
        <v>204</v>
      </c>
      <c r="D20" s="91" t="s">
        <v>64</v>
      </c>
      <c r="E20" s="99" t="s">
        <v>160</v>
      </c>
      <c r="F20" s="86">
        <v>10185</v>
      </c>
      <c r="G20" s="65" t="s">
        <v>161</v>
      </c>
      <c r="H20" s="65">
        <v>2008</v>
      </c>
      <c r="I20" s="93" t="s">
        <v>162</v>
      </c>
      <c r="J20" s="68">
        <v>73571.88</v>
      </c>
      <c r="K20" s="65" t="s">
        <v>139</v>
      </c>
      <c r="L20" s="91" t="s">
        <v>57</v>
      </c>
      <c r="M20" s="93" t="s">
        <v>153</v>
      </c>
      <c r="N20" s="93" t="s">
        <v>163</v>
      </c>
      <c r="O20" s="93" t="s">
        <v>164</v>
      </c>
      <c r="P20" s="94" t="s">
        <v>165</v>
      </c>
      <c r="Q20" s="72">
        <f t="shared" si="0"/>
        <v>37.10703529411765</v>
      </c>
      <c r="R20" s="95">
        <f>14714.88/1700</f>
        <v>8.655811764705883</v>
      </c>
      <c r="S20" s="95">
        <f>100*12/1700</f>
        <v>0.7058823529411765</v>
      </c>
      <c r="T20" s="97">
        <f>3930.59*12/1700</f>
        <v>27.74534117647059</v>
      </c>
      <c r="U20" s="52">
        <f t="shared" si="1"/>
        <v>37.10703529411765</v>
      </c>
      <c r="V20" s="95">
        <v>100</v>
      </c>
      <c r="W20" s="95">
        <v>60</v>
      </c>
      <c r="X20" s="93" t="s">
        <v>40</v>
      </c>
      <c r="Y20" s="95">
        <v>100</v>
      </c>
      <c r="Z20" s="79" t="s">
        <v>64</v>
      </c>
      <c r="AA20" s="73" t="s">
        <v>65</v>
      </c>
      <c r="AB20" s="74">
        <v>13</v>
      </c>
      <c r="AC20" s="81" t="s">
        <v>166</v>
      </c>
      <c r="AD20" s="93"/>
      <c r="AE20" s="95">
        <v>39</v>
      </c>
      <c r="AF20" s="79" t="s">
        <v>73</v>
      </c>
      <c r="AG20" s="73"/>
      <c r="AH20" s="75">
        <v>38</v>
      </c>
      <c r="AI20" s="81"/>
      <c r="AJ20" s="91"/>
      <c r="AK20" s="91"/>
      <c r="AL20" s="75"/>
      <c r="AM20" s="75"/>
      <c r="AN20" s="77"/>
      <c r="AO20" s="60"/>
      <c r="AP20" s="61"/>
      <c r="AQ20" s="62"/>
    </row>
    <row r="21" spans="1:43" s="9" customFormat="1" ht="165.75">
      <c r="A21" s="63" t="s">
        <v>95</v>
      </c>
      <c r="B21" s="64">
        <v>103</v>
      </c>
      <c r="C21" s="78" t="s">
        <v>202</v>
      </c>
      <c r="D21" s="76" t="s">
        <v>64</v>
      </c>
      <c r="E21" s="100" t="s">
        <v>65</v>
      </c>
      <c r="F21" s="76">
        <v>14126</v>
      </c>
      <c r="G21" s="83" t="s">
        <v>167</v>
      </c>
      <c r="H21" s="65">
        <v>2008</v>
      </c>
      <c r="I21" s="83" t="s">
        <v>168</v>
      </c>
      <c r="J21" s="68">
        <v>51101.59</v>
      </c>
      <c r="K21" s="65" t="s">
        <v>139</v>
      </c>
      <c r="L21" s="76" t="s">
        <v>57</v>
      </c>
      <c r="M21" s="83" t="s">
        <v>58</v>
      </c>
      <c r="N21" s="101" t="s">
        <v>169</v>
      </c>
      <c r="O21" s="101" t="s">
        <v>170</v>
      </c>
      <c r="P21" s="102" t="s">
        <v>171</v>
      </c>
      <c r="Q21" s="72">
        <f t="shared" si="0"/>
        <v>33.97870588235294</v>
      </c>
      <c r="R21" s="104">
        <f>10356.72/1700</f>
        <v>6.092188235294118</v>
      </c>
      <c r="S21" s="104">
        <f>20*12/1700</f>
        <v>0.1411764705882353</v>
      </c>
      <c r="T21" s="97">
        <f>3930.59*12/1700</f>
        <v>27.74534117647059</v>
      </c>
      <c r="U21" s="52">
        <f t="shared" si="1"/>
        <v>33.97870588235294</v>
      </c>
      <c r="V21" s="104">
        <v>100</v>
      </c>
      <c r="W21" s="104">
        <v>39.28</v>
      </c>
      <c r="X21" s="46" t="s">
        <v>40</v>
      </c>
      <c r="Y21" s="104">
        <v>100</v>
      </c>
      <c r="Z21" s="105" t="s">
        <v>64</v>
      </c>
      <c r="AA21" s="106" t="s">
        <v>65</v>
      </c>
      <c r="AB21" s="107">
        <v>40</v>
      </c>
      <c r="AC21" s="103" t="s">
        <v>71</v>
      </c>
      <c r="AD21" s="108" t="s">
        <v>193</v>
      </c>
      <c r="AE21" s="104">
        <v>40</v>
      </c>
      <c r="AF21" s="106" t="s">
        <v>72</v>
      </c>
      <c r="AG21" s="106"/>
      <c r="AH21" s="105">
        <v>10</v>
      </c>
      <c r="AI21" s="103" t="s">
        <v>73</v>
      </c>
      <c r="AJ21" s="103"/>
      <c r="AK21" s="103">
        <v>10</v>
      </c>
      <c r="AL21" s="105"/>
      <c r="AM21" s="105"/>
      <c r="AN21" s="109"/>
      <c r="AO21" s="60"/>
      <c r="AP21" s="61"/>
      <c r="AQ21" s="62"/>
    </row>
    <row r="22" spans="1:43" ht="140.25" customHeight="1">
      <c r="A22" s="63" t="s">
        <v>95</v>
      </c>
      <c r="B22" s="110">
        <v>103</v>
      </c>
      <c r="C22" s="141" t="s">
        <v>205</v>
      </c>
      <c r="D22" s="93" t="s">
        <v>41</v>
      </c>
      <c r="E22" s="111" t="s">
        <v>172</v>
      </c>
      <c r="F22" s="67">
        <v>14115</v>
      </c>
      <c r="G22" s="93" t="s">
        <v>173</v>
      </c>
      <c r="H22" s="93">
        <v>2010</v>
      </c>
      <c r="I22" s="113" t="s">
        <v>225</v>
      </c>
      <c r="J22" s="112">
        <v>595000</v>
      </c>
      <c r="K22" s="144" t="s">
        <v>216</v>
      </c>
      <c r="L22" s="113" t="s">
        <v>210</v>
      </c>
      <c r="M22" s="113" t="s">
        <v>220</v>
      </c>
      <c r="N22" s="113" t="s">
        <v>226</v>
      </c>
      <c r="O22" s="113" t="s">
        <v>227</v>
      </c>
      <c r="P22" s="94" t="s">
        <v>174</v>
      </c>
      <c r="Q22" s="72">
        <f>U22</f>
        <v>100.57079411764707</v>
      </c>
      <c r="R22" s="95">
        <f>+J22/5/1700</f>
        <v>70</v>
      </c>
      <c r="S22" s="95">
        <f>26032.52/1700</f>
        <v>15.31324705882353</v>
      </c>
      <c r="T22" s="97">
        <f>25937.83/1700</f>
        <v>15.25754705882353</v>
      </c>
      <c r="U22" s="52">
        <f>SUM(R22:T22)</f>
        <v>100.57079411764707</v>
      </c>
      <c r="V22" s="95">
        <v>100</v>
      </c>
      <c r="W22" s="70">
        <f>(67840.56+9916.67+9916.67+9916.67)/J22*100</f>
        <v>16.401776470588235</v>
      </c>
      <c r="X22" s="65" t="s">
        <v>188</v>
      </c>
      <c r="Y22" s="70">
        <v>100</v>
      </c>
      <c r="Z22" s="106" t="s">
        <v>191</v>
      </c>
      <c r="AA22" s="106" t="s">
        <v>65</v>
      </c>
      <c r="AB22" s="107">
        <v>62</v>
      </c>
      <c r="AC22" s="76" t="s">
        <v>189</v>
      </c>
      <c r="AD22" s="65" t="s">
        <v>190</v>
      </c>
      <c r="AE22" s="70">
        <v>38</v>
      </c>
      <c r="AF22" s="105"/>
      <c r="AG22" s="106"/>
      <c r="AH22" s="105"/>
      <c r="AI22" s="76"/>
      <c r="AJ22" s="76"/>
      <c r="AK22" s="76"/>
      <c r="AL22" s="105"/>
      <c r="AM22" s="105"/>
      <c r="AN22" s="109"/>
      <c r="AO22" s="60"/>
      <c r="AP22" s="61"/>
      <c r="AQ22" s="62"/>
    </row>
    <row r="23" spans="1:40" ht="139.5" customHeight="1">
      <c r="A23" s="63" t="s">
        <v>95</v>
      </c>
      <c r="B23" s="110">
        <v>103</v>
      </c>
      <c r="C23" s="141" t="s">
        <v>203</v>
      </c>
      <c r="D23" s="93" t="s">
        <v>175</v>
      </c>
      <c r="E23" s="111" t="s">
        <v>176</v>
      </c>
      <c r="F23" s="114" t="s">
        <v>177</v>
      </c>
      <c r="G23" s="93" t="s">
        <v>218</v>
      </c>
      <c r="H23" s="93">
        <v>2010</v>
      </c>
      <c r="I23" s="93" t="s">
        <v>219</v>
      </c>
      <c r="J23" s="112">
        <v>477428</v>
      </c>
      <c r="K23" s="144" t="s">
        <v>216</v>
      </c>
      <c r="L23" s="113" t="s">
        <v>210</v>
      </c>
      <c r="M23" s="113" t="s">
        <v>220</v>
      </c>
      <c r="N23" s="93" t="s">
        <v>221</v>
      </c>
      <c r="O23" s="113" t="s">
        <v>222</v>
      </c>
      <c r="P23" s="94" t="s">
        <v>178</v>
      </c>
      <c r="Q23" s="72">
        <f>U23</f>
        <v>86.73879411764707</v>
      </c>
      <c r="R23" s="95">
        <f>+J23/5/1700</f>
        <v>56.168000000000006</v>
      </c>
      <c r="S23" s="95">
        <f>26032.52/1700</f>
        <v>15.31324705882353</v>
      </c>
      <c r="T23" s="97">
        <f>25937.83/1700</f>
        <v>15.25754705882353</v>
      </c>
      <c r="U23" s="52">
        <f>SUM(R23:T23)</f>
        <v>86.73879411764707</v>
      </c>
      <c r="V23" s="95">
        <v>100</v>
      </c>
      <c r="W23" s="70">
        <f>(119+7957.13+7957.13+7957.13)/J23*100</f>
        <v>5.024923129770353</v>
      </c>
      <c r="X23" s="65" t="s">
        <v>188</v>
      </c>
      <c r="Y23" s="70">
        <v>100</v>
      </c>
      <c r="Z23" s="105" t="s">
        <v>84</v>
      </c>
      <c r="AA23" s="106" t="s">
        <v>195</v>
      </c>
      <c r="AB23" s="107">
        <v>30</v>
      </c>
      <c r="AC23" s="76" t="s">
        <v>74</v>
      </c>
      <c r="AD23" s="65"/>
      <c r="AE23" s="70">
        <v>30</v>
      </c>
      <c r="AF23" s="105" t="s">
        <v>41</v>
      </c>
      <c r="AG23" s="106" t="s">
        <v>42</v>
      </c>
      <c r="AH23" s="105">
        <v>15</v>
      </c>
      <c r="AI23" s="76" t="s">
        <v>64</v>
      </c>
      <c r="AJ23" s="65" t="s">
        <v>65</v>
      </c>
      <c r="AK23" s="76">
        <v>25</v>
      </c>
      <c r="AL23" s="105"/>
      <c r="AM23" s="105"/>
      <c r="AN23" s="109"/>
    </row>
    <row r="24" spans="1:40" ht="139.5" customHeight="1">
      <c r="A24" s="63" t="s">
        <v>95</v>
      </c>
      <c r="B24" s="110">
        <v>103</v>
      </c>
      <c r="C24" s="141" t="s">
        <v>203</v>
      </c>
      <c r="D24" s="93" t="s">
        <v>175</v>
      </c>
      <c r="E24" s="111" t="s">
        <v>176</v>
      </c>
      <c r="F24" s="114" t="s">
        <v>177</v>
      </c>
      <c r="G24" s="93" t="s">
        <v>223</v>
      </c>
      <c r="H24" s="93">
        <v>2010</v>
      </c>
      <c r="I24" s="93" t="s">
        <v>224</v>
      </c>
      <c r="J24" s="112">
        <v>253113</v>
      </c>
      <c r="K24" s="144" t="s">
        <v>216</v>
      </c>
      <c r="L24" s="113" t="s">
        <v>210</v>
      </c>
      <c r="M24" s="113" t="s">
        <v>220</v>
      </c>
      <c r="N24" s="93" t="s">
        <v>221</v>
      </c>
      <c r="O24" s="113" t="s">
        <v>222</v>
      </c>
      <c r="P24" s="94" t="s">
        <v>179</v>
      </c>
      <c r="Q24" s="72">
        <f>U24</f>
        <v>60.34879411764706</v>
      </c>
      <c r="R24" s="95">
        <f>+J24/5/1700</f>
        <v>29.778</v>
      </c>
      <c r="S24" s="95">
        <f>26032.52/1700</f>
        <v>15.31324705882353</v>
      </c>
      <c r="T24" s="97">
        <f>25937.83/1700</f>
        <v>15.25754705882353</v>
      </c>
      <c r="U24" s="52">
        <f>SUM(R24:T24)</f>
        <v>60.34879411764706</v>
      </c>
      <c r="V24" s="95">
        <v>100</v>
      </c>
      <c r="W24" s="70">
        <f>(119+4218.55+4218.55+4218.55)/J24*100</f>
        <v>5.047014574518101</v>
      </c>
      <c r="X24" s="65" t="s">
        <v>188</v>
      </c>
      <c r="Y24" s="70">
        <v>100</v>
      </c>
      <c r="Z24" s="75" t="s">
        <v>84</v>
      </c>
      <c r="AA24" s="73" t="s">
        <v>195</v>
      </c>
      <c r="AB24" s="74">
        <v>30</v>
      </c>
      <c r="AC24" s="76" t="s">
        <v>74</v>
      </c>
      <c r="AD24" s="65"/>
      <c r="AE24" s="70">
        <v>30</v>
      </c>
      <c r="AF24" s="75" t="s">
        <v>41</v>
      </c>
      <c r="AG24" s="73" t="s">
        <v>42</v>
      </c>
      <c r="AH24" s="75">
        <v>15</v>
      </c>
      <c r="AI24" s="76" t="s">
        <v>64</v>
      </c>
      <c r="AJ24" s="65" t="s">
        <v>65</v>
      </c>
      <c r="AK24" s="76">
        <v>25</v>
      </c>
      <c r="AL24" s="75"/>
      <c r="AM24" s="75"/>
      <c r="AN24" s="109"/>
    </row>
    <row r="25" spans="1:40" ht="139.5" customHeight="1">
      <c r="A25" s="63" t="s">
        <v>95</v>
      </c>
      <c r="B25" s="110">
        <v>103</v>
      </c>
      <c r="C25" s="141" t="s">
        <v>203</v>
      </c>
      <c r="D25" s="93" t="s">
        <v>175</v>
      </c>
      <c r="E25" s="111" t="s">
        <v>206</v>
      </c>
      <c r="F25" s="114" t="s">
        <v>207</v>
      </c>
      <c r="G25" s="93" t="s">
        <v>208</v>
      </c>
      <c r="H25" s="93">
        <v>2010</v>
      </c>
      <c r="I25" s="113" t="s">
        <v>209</v>
      </c>
      <c r="J25" s="145">
        <v>227730.3</v>
      </c>
      <c r="K25" s="144" t="s">
        <v>139</v>
      </c>
      <c r="L25" s="113" t="s">
        <v>210</v>
      </c>
      <c r="M25" s="113" t="s">
        <v>220</v>
      </c>
      <c r="N25" s="113" t="s">
        <v>211</v>
      </c>
      <c r="O25" s="113" t="s">
        <v>212</v>
      </c>
      <c r="P25" s="94" t="s">
        <v>213</v>
      </c>
      <c r="Q25" s="72">
        <f>U25</f>
        <v>57.36259411764706</v>
      </c>
      <c r="R25" s="95">
        <f>+J25/5/1700</f>
        <v>26.7918</v>
      </c>
      <c r="S25" s="95">
        <f>26032.52/1700</f>
        <v>15.31324705882353</v>
      </c>
      <c r="T25" s="97">
        <f>25937.83/1700</f>
        <v>15.25754705882353</v>
      </c>
      <c r="U25" s="52">
        <f>SUM(R25:T25)</f>
        <v>57.36259411764706</v>
      </c>
      <c r="V25" s="95">
        <v>100</v>
      </c>
      <c r="W25" s="70">
        <f>(63.46+3795.51+3795.51+3795.51)/J25*100</f>
        <v>5.027872882967265</v>
      </c>
      <c r="X25" s="65" t="s">
        <v>214</v>
      </c>
      <c r="Y25" s="70">
        <v>100</v>
      </c>
      <c r="Z25" s="75"/>
      <c r="AA25" s="73"/>
      <c r="AB25" s="74">
        <v>100</v>
      </c>
      <c r="AC25" s="76"/>
      <c r="AD25" s="65"/>
      <c r="AE25" s="70"/>
      <c r="AF25" s="75"/>
      <c r="AG25" s="73"/>
      <c r="AH25" s="75"/>
      <c r="AI25" s="76"/>
      <c r="AJ25" s="76"/>
      <c r="AK25" s="76"/>
      <c r="AL25" s="75"/>
      <c r="AM25" s="75"/>
      <c r="AN25" s="75"/>
    </row>
    <row r="26" spans="1:43" ht="15" customHeight="1">
      <c r="A26" s="115"/>
      <c r="B26" s="116"/>
      <c r="C26" s="142"/>
      <c r="D26" s="117"/>
      <c r="E26" s="118"/>
      <c r="F26" s="119"/>
      <c r="G26" s="117"/>
      <c r="H26" s="117"/>
      <c r="I26" s="117"/>
      <c r="J26" s="120"/>
      <c r="K26" s="116"/>
      <c r="L26" s="117"/>
      <c r="M26" s="121"/>
      <c r="N26" s="121"/>
      <c r="O26" s="121"/>
      <c r="P26" s="122"/>
      <c r="W26" s="123"/>
      <c r="X26" s="124"/>
      <c r="Y26" s="125"/>
      <c r="Z26" s="9"/>
      <c r="AA26" s="124"/>
      <c r="AB26" s="125"/>
      <c r="AC26" s="9"/>
      <c r="AD26" s="124"/>
      <c r="AE26" s="125"/>
      <c r="AF26" s="9"/>
      <c r="AG26" s="124"/>
      <c r="AH26" s="9"/>
      <c r="AI26" s="9"/>
      <c r="AJ26" s="9"/>
      <c r="AK26" s="9"/>
      <c r="AL26" s="9"/>
      <c r="AM26" s="9"/>
      <c r="AN26" s="132"/>
      <c r="AO26" s="133"/>
      <c r="AP26" s="133"/>
      <c r="AQ26" s="134"/>
    </row>
    <row r="27" spans="1:43" ht="12.75">
      <c r="A27" s="146" t="s">
        <v>186</v>
      </c>
      <c r="B27" s="146"/>
      <c r="C27" s="146"/>
      <c r="D27" s="146"/>
      <c r="E27" s="146"/>
      <c r="F27" s="146"/>
      <c r="I27"/>
      <c r="K27" s="153" t="s">
        <v>187</v>
      </c>
      <c r="L27" s="146"/>
      <c r="M27" s="146"/>
      <c r="N27" s="146"/>
      <c r="O27" s="146"/>
      <c r="P27" s="146"/>
      <c r="X27" s="124"/>
      <c r="Y27" s="125"/>
      <c r="Z27" s="9"/>
      <c r="AA27" s="124"/>
      <c r="AB27" s="125"/>
      <c r="AC27" s="9"/>
      <c r="AD27" s="124"/>
      <c r="AE27" s="125"/>
      <c r="AF27" s="9"/>
      <c r="AG27" s="124"/>
      <c r="AH27" s="9"/>
      <c r="AI27" s="9"/>
      <c r="AJ27" s="9"/>
      <c r="AK27" s="9"/>
      <c r="AL27" s="9"/>
      <c r="AM27" s="9"/>
      <c r="AN27" s="128"/>
      <c r="AO27" s="129"/>
      <c r="AP27" s="129"/>
      <c r="AQ27" s="135"/>
    </row>
    <row r="28" spans="5:43" ht="12.75">
      <c r="E28"/>
      <c r="F28" s="1"/>
      <c r="I28"/>
      <c r="K28" s="126"/>
      <c r="M28"/>
      <c r="X28" s="124"/>
      <c r="Y28" s="125"/>
      <c r="Z28" s="9"/>
      <c r="AA28" s="124"/>
      <c r="AB28" s="125"/>
      <c r="AC28" s="9"/>
      <c r="AD28" s="124"/>
      <c r="AE28" s="125"/>
      <c r="AF28" s="9"/>
      <c r="AG28" s="124"/>
      <c r="AH28" s="9"/>
      <c r="AI28" s="9"/>
      <c r="AJ28" s="9"/>
      <c r="AK28" s="9"/>
      <c r="AL28" s="9"/>
      <c r="AM28" s="9"/>
      <c r="AN28" s="128"/>
      <c r="AO28" s="129"/>
      <c r="AP28" s="129"/>
      <c r="AQ28" s="135"/>
    </row>
    <row r="29" spans="1:43" ht="12.75">
      <c r="A29" s="146"/>
      <c r="B29" s="146"/>
      <c r="C29" s="146"/>
      <c r="D29" s="146"/>
      <c r="E29" s="146"/>
      <c r="I29"/>
      <c r="M29"/>
      <c r="AN29" s="130"/>
      <c r="AO29" s="129"/>
      <c r="AP29" s="129"/>
      <c r="AQ29" s="135"/>
    </row>
    <row r="30" spans="5:43" ht="12.75">
      <c r="E30"/>
      <c r="I30"/>
      <c r="M30"/>
      <c r="AN30" s="130"/>
      <c r="AO30" s="129"/>
      <c r="AP30" s="129"/>
      <c r="AQ30" s="135"/>
    </row>
    <row r="31" spans="40:43" ht="12.75">
      <c r="AN31" s="127"/>
      <c r="AO31" s="131"/>
      <c r="AP31" s="131"/>
      <c r="AQ31" s="136"/>
    </row>
    <row r="32" spans="41:43" ht="12.75">
      <c r="AO32" s="6"/>
      <c r="AP32" s="6"/>
      <c r="AQ32" s="6"/>
    </row>
  </sheetData>
  <sheetProtection/>
  <mergeCells count="6">
    <mergeCell ref="A29:E29"/>
    <mergeCell ref="A1:G1"/>
    <mergeCell ref="R3:U3"/>
    <mergeCell ref="Y3:AC3"/>
    <mergeCell ref="A27:F27"/>
    <mergeCell ref="K27:P27"/>
  </mergeCells>
  <hyperlinks>
    <hyperlink ref="X6" r:id="rId1" tooltip="http://abra.fkkt.uni-lj.si/fn01leban/difraktometer/" display="http://abra.fkkt.uni-lj.si/fn01leban/difraktometer/"/>
    <hyperlink ref="X22" r:id="rId2" tooltip="http://mikroskop.fkkt.uni-lj.si/login.php" display="http://mikroskop.fkkt.uni-lj.si/login.php"/>
  </hyperlinks>
  <printOptions/>
  <pageMargins left="0.75" right="0.75" top="0.19" bottom="0.18" header="0.49" footer="0"/>
  <pageSetup horizontalDpi="600" verticalDpi="600" orientation="landscape" paperSize="9" scale="24"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dcterms:created xsi:type="dcterms:W3CDTF">2010-12-24T08:49:50Z</dcterms:created>
  <dcterms:modified xsi:type="dcterms:W3CDTF">2011-07-29T08:16:48Z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