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7115" windowHeight="9465" activeTab="0"/>
  </bookViews>
  <sheets>
    <sheet name="Oprema (ARRS)" sheetId="1" r:id="rId1"/>
  </sheets>
  <definedNames>
    <definedName name="_xlnm.Print_Area" localSheetId="0">'Oprema (ARRS)'!$A$1:$AQ$31</definedName>
  </definedNames>
  <calcPr fullCalcOnLoad="1"/>
</workbook>
</file>

<file path=xl/sharedStrings.xml><?xml version="1.0" encoding="utf-8"?>
<sst xmlns="http://schemas.openxmlformats.org/spreadsheetml/2006/main" count="418" uniqueCount="233">
  <si>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</si>
  <si>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</si>
  <si>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</si>
  <si>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</si>
  <si>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</si>
  <si>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</si>
  <si>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</si>
  <si>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</si>
  <si>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</si>
  <si>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</si>
  <si>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</si>
  <si>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</si>
  <si>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</si>
  <si>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</si>
  <si>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</si>
  <si>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</si>
  <si>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</si>
  <si>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</si>
  <si>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</si>
  <si>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</si>
  <si>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</si>
  <si>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</si>
  <si>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</si>
  <si>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</si>
  <si>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</si>
  <si>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</si>
  <si>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</si>
  <si>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</si>
  <si>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</si>
  <si>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</si>
  <si>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</si>
  <si>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</si>
  <si>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</si>
  <si>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</si>
  <si>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</si>
  <si>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</si>
  <si>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</si>
  <si>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</si>
  <si>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</si>
  <si>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</si>
  <si>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</si>
  <si>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</si>
  <si>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</si>
  <si>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</si>
  <si>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</si>
  <si>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</si>
  <si>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</si>
  <si>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</si>
  <si>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</si>
  <si>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</si>
  <si>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</si>
  <si>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</si>
  <si>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</si>
  <si>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</si>
  <si>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</si>
  <si>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</si>
  <si>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</si>
  <si>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</si>
  <si>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</si>
  <si>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</si>
  <si>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</si>
  <si>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</si>
  <si>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</si>
  <si>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</si>
  <si>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</si>
  <si>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</si>
  <si>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</si>
  <si>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</si>
  <si>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</si>
  <si>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</si>
  <si>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</si>
  <si>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</si>
  <si>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</si>
  <si>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</si>
  <si>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</si>
  <si>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</si>
  <si>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</si>
  <si>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</si>
  <si>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</si>
  <si>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</si>
  <si>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</si>
  <si>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</si>
  <si>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</si>
  <si>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</si>
  <si>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</si>
  <si>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</si>
  <si>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</si>
  <si>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</si>
  <si>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</si>
  <si>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</si>
  <si>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</si>
  <si>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</si>
  <si>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</si>
  <si>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</si>
  <si>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</si>
  <si>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</si>
  <si>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</si>
  <si>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</si>
  <si>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</si>
  <si>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</si>
  <si>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</si>
  <si>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</si>
  <si>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</si>
  <si>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</si>
  <si>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</si>
  <si>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</si>
  <si>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</si>
  <si>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</si>
  <si>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</si>
  <si>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</si>
  <si>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</si>
  <si>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</si>
  <si>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</si>
  <si>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</si>
  <si>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</si>
  <si>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</si>
  <si>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</si>
  <si>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</si>
  <si>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</si>
  <si>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</si>
  <si>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</si>
  <si>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</si>
  <si>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</si>
  <si>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</si>
  <si>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</si>
  <si>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</si>
  <si>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</si>
  <si>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</si>
  <si>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</si>
  <si>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</si>
  <si>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</si>
  <si>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</si>
  <si>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</si>
  <si>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</si>
  <si>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</si>
  <si>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</si>
  <si>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</si>
  <si>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</si>
  <si>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</si>
  <si>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</si>
  <si>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</si>
  <si>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</si>
  <si>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</si>
  <si>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</si>
  <si>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</si>
  <si>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</si>
  <si>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</si>
  <si>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</si>
  <si>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</si>
  <si>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</si>
  <si>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</si>
  <si>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</si>
  <si>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</si>
  <si>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</si>
  <si>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</si>
  <si>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</si>
  <si>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</si>
  <si>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</si>
  <si>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</si>
  <si>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</si>
  <si>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</si>
  <si>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</si>
  <si>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</si>
  <si>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</si>
  <si>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</si>
  <si>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</si>
  <si>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</si>
  <si>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</si>
  <si>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</si>
  <si>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</si>
  <si>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</si>
  <si>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</si>
  <si>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</si>
  <si>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</si>
  <si>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</si>
  <si>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IP-0510</t>
  </si>
  <si>
    <t>Andrej Petrič</t>
  </si>
  <si>
    <t>05044</t>
  </si>
  <si>
    <t>013767</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</si>
  <si>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</si>
  <si>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</si>
  <si>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</si>
  <si>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</si>
  <si>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</si>
  <si>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</si>
  <si>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</si>
  <si>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Ime odgovornega računovodje: Ljudmila Obreza, dipl.ekon.</t>
  </si>
  <si>
    <t>Ime zakonitega zastopnika/pooblaščene osebe raziskovalne organizacije: Dekan: prof.dr. Anton Meden</t>
  </si>
  <si>
    <t>http://nmr-slave.fkkt.uni-lj.si/oprema.html</t>
  </si>
  <si>
    <t>zunanji</t>
  </si>
  <si>
    <t>KI, Zavod za gradbeništvo, Calcit, IJS</t>
  </si>
  <si>
    <t>P2-0191, P1-0175, P1-0134</t>
  </si>
  <si>
    <t>Vojeslav Vlachy</t>
  </si>
  <si>
    <t>Albin Pintar</t>
  </si>
  <si>
    <t>Peter Bukovec</t>
  </si>
  <si>
    <t>Marijan Kočevar</t>
  </si>
  <si>
    <t>Jana Kolar</t>
  </si>
  <si>
    <t>Cena za uporabo raziskovalne opreme            v EUR</t>
  </si>
  <si>
    <t xml:space="preserve">Struktura lastne cene za uporabo raziskovalne opreme  </t>
  </si>
  <si>
    <t>006</t>
  </si>
  <si>
    <t>008</t>
  </si>
  <si>
    <t>009</t>
  </si>
  <si>
    <t>002</t>
  </si>
  <si>
    <t>001</t>
  </si>
  <si>
    <t>003</t>
  </si>
  <si>
    <t>007</t>
  </si>
  <si>
    <t>Janez Košmrlj</t>
  </si>
  <si>
    <t>13822</t>
  </si>
  <si>
    <t>Tekočinski kromatograf z masnim detektorjem na čas preleta (TOF)</t>
  </si>
  <si>
    <t>Agilent 6224 Accurate Mass TOF LC/MS system</t>
  </si>
  <si>
    <t>Načela za uporabo inštrumentalnega časa so objavljena na spletni strani IC UL FKKT (http://nmr-slave.fkkt.uni-lj.si)</t>
  </si>
  <si>
    <t>Oprema je namenjena raziskovalcem za določanje čitoče in natančne molekulske mase spojin.</t>
  </si>
  <si>
    <t>The equipmnet is intended for the determination of purity and exact molecular mass of compounds</t>
  </si>
  <si>
    <t>013835</t>
  </si>
  <si>
    <t>http://nmr-slave.fkkt.uni-lj.si</t>
  </si>
  <si>
    <t>04614</t>
  </si>
  <si>
    <t>Paket 14</t>
  </si>
  <si>
    <t>Skupaj lastna cena/uro</t>
  </si>
  <si>
    <t xml:space="preserve"> Bruker AVANCE 500 MHz NMR spektrometer</t>
  </si>
  <si>
    <t xml:space="preserve"> Bruker AVANCE 500 MHz NMR spectrometer</t>
  </si>
  <si>
    <t>Services are available to all subject to previous notice. Details can be found at http://nmr-slave.fkkt.uni-lj.si</t>
  </si>
  <si>
    <t>Oprema je namenjena raziskovalcem za določanje strukture, konformacij in dinamike molekul v raztopini</t>
  </si>
  <si>
    <t>The equipment enables the determination of structure, conforamtion, and dynamics of molecules in solution</t>
  </si>
  <si>
    <t xml:space="preserve"> Bruker AVANCE 400 MHz NMR spektrometer</t>
  </si>
  <si>
    <t xml:space="preserve"> Bruker AVANCE 400 MHz NMR spectrometer</t>
  </si>
  <si>
    <t>High resolution electron microscope Zeiss FE-SEM ULTRA plus</t>
  </si>
  <si>
    <t>Oprema je namenjena raziskovalcem za opazovanje površine vzorcev (SE, BSE, EDX) na mikro in nano nivoju</t>
  </si>
  <si>
    <t>The equipment enables the determination of samples' microstructure (SE, BSE, EDX) on micro- and nano-level</t>
  </si>
  <si>
    <t>Zainteresirani uporabnik se obrne na skrbnika opreme, ki organizira snemanje vzorcev in po potrebi poskrbi za interpretacijo. Za uporabnike z UL FKKT je storitev brezplačna, drugi uporabniki plačajo stroške snemanja in interpretacije. Cena je zelo odvisna od načina snemanja in zahtevnosti interpretacije, informacijo o ceni dobite od skrbnika pred dogovorom za snemanje.</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</si>
  <si>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t>
  </si>
  <si>
    <t>Oprema je dostopna le po predhodnem dogovoru in pod vodstvom strokovno usposobljene osebe; cena za določitev hidrodinamskega radija in za določanje molske mase se zaračuna glede na porabljeni čas in zahtevnost ostalih postopkov</t>
  </si>
  <si>
    <t>The qeuipment is available on the basis of a previous agreement and with a supervision of authorized personel; the determination of the hydrodynamic radius and the price for the molar mass determination  depends on the used time and on the pretentiousness of measurements.</t>
  </si>
  <si>
    <t>MESEČNO POROČILO - AVGUST 2012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</si>
</sst>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4">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3" xfId="0" applyFill="1" applyBorder="1" applyAlignment="1">
      <alignment/>
    </xf>
    <xf numFmtId="0" fontId="0" fillId="24" borderId="33" xfId="0" applyFill="1" applyBorder="1" applyAlignment="1">
      <alignment/>
    </xf>
    <xf numFmtId="0" fontId="0" fillId="24" borderId="34" xfId="0" applyFill="1" applyBorder="1" applyAlignment="1">
      <alignment/>
    </xf>
    <xf numFmtId="0" fontId="0" fillId="24" borderId="35" xfId="0" applyFill="1" applyBorder="1" applyAlignment="1">
      <alignment/>
    </xf>
    <xf numFmtId="0" fontId="0" fillId="24" borderId="36" xfId="0" applyFill="1" applyBorder="1" applyAlignment="1">
      <alignment/>
    </xf>
    <xf numFmtId="49" fontId="22" fillId="0" borderId="0" xfId="0" applyNumberFormat="1" applyFont="1" applyFill="1" applyAlignment="1">
      <alignment/>
    </xf>
    <xf numFmtId="49" fontId="0" fillId="0" borderId="11" xfId="0" applyNumberFormat="1" applyFont="1" applyFill="1" applyBorder="1" applyAlignment="1">
      <alignment horizontal="center" wrapText="1"/>
    </xf>
    <xf numFmtId="49" fontId="0" fillId="0" borderId="18" xfId="0" applyNumberFormat="1" applyFont="1" applyFill="1" applyBorder="1" applyAlignment="1">
      <alignment horizontal="center" wrapText="1"/>
    </xf>
    <xf numFmtId="49" fontId="0" fillId="0" borderId="27" xfId="0" applyNumberFormat="1" applyFill="1" applyBorder="1" applyAlignment="1">
      <alignment horizontal="center" wrapText="1"/>
    </xf>
    <xf numFmtId="49" fontId="0" fillId="0" borderId="26" xfId="0" applyNumberFormat="1" applyBorder="1" applyAlignment="1">
      <alignment horizontal="right" wrapText="1"/>
    </xf>
    <xf numFmtId="49" fontId="0" fillId="0" borderId="0" xfId="0" applyNumberFormat="1" applyBorder="1" applyAlignment="1">
      <alignment horizontal="right" wrapText="1"/>
    </xf>
    <xf numFmtId="49" fontId="0" fillId="0" borderId="0" xfId="0" applyNumberFormat="1" applyAlignment="1">
      <alignment/>
    </xf>
    <xf numFmtId="0" fontId="0" fillId="0" borderId="26" xfId="0" applyBorder="1" applyAlignment="1">
      <alignment horizontal="left" wrapText="1"/>
    </xf>
    <xf numFmtId="4" fontId="0" fillId="0" borderId="26" xfId="0" applyNumberFormat="1" applyBorder="1" applyAlignment="1">
      <alignment wrapText="1"/>
    </xf>
    <xf numFmtId="0" fontId="0" fillId="0" borderId="0" xfId="0" applyAlignment="1">
      <alignment/>
    </xf>
    <xf numFmtId="0" fontId="21" fillId="0" borderId="0" xfId="0" applyFont="1" applyFill="1" applyAlignment="1">
      <alignment/>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37" xfId="0" applyFont="1" applyBorder="1" applyAlignment="1">
      <alignment horizontal="center" wrapText="1"/>
    </xf>
    <xf numFmtId="0" fontId="25" fillId="16" borderId="38"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2"/>
  <sheetViews>
    <sheetView showGridLines="0" tabSelected="1" zoomScale="75" zoomScaleNormal="75" zoomScaleSheetLayoutView="75" workbookViewId="0" topLeftCell="A1">
      <pane xSplit="1" ySplit="3" topLeftCell="B4" activePane="bottomRight" state="frozen"/>
      <selection pane="topLeft" activeCell="A1" sqref="A1"/>
      <selection pane="topRight" activeCell="C1" sqref="C1"/>
      <selection pane="bottomLeft" activeCell="A2" sqref="A2"/>
      <selection pane="bottomRight" activeCell="A3" sqref="A3"/>
    </sheetView>
  </sheetViews>
  <sheetFormatPr defaultColWidth="9.140625" defaultRowHeight="12.75"/>
  <cols>
    <col min="1" max="1" width="28.140625" style="0" customWidth="1"/>
    <col min="3" max="3" width="7.140625" style="143" customWidth="1"/>
    <col min="5" max="5" width="16.00390625" style="126"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6.28125" style="0" customWidth="1"/>
    <col min="16" max="16" width="16.140625" style="3" customWidth="1"/>
    <col min="17" max="17" width="14.7109375" style="4" customWidth="1"/>
    <col min="18" max="18" width="11.140625" style="5" customWidth="1"/>
    <col min="19" max="19" width="9.8515625" style="5" bestFit="1" customWidth="1"/>
    <col min="20" max="20" width="13.28125" style="4" bestFit="1"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47" t="s">
        <v>0</v>
      </c>
      <c r="B1" s="146"/>
      <c r="C1" s="146"/>
      <c r="D1" s="146"/>
      <c r="E1" s="146"/>
      <c r="F1" s="146"/>
      <c r="G1" s="146"/>
      <c r="AO1" s="6"/>
      <c r="AP1" s="6"/>
      <c r="AQ1" s="6"/>
    </row>
    <row r="2" spans="1:43" ht="18.75" thickBot="1">
      <c r="A2" s="7"/>
      <c r="B2" s="7"/>
      <c r="C2" s="137"/>
      <c r="D2" s="7"/>
      <c r="E2" s="8"/>
      <c r="F2" s="9"/>
      <c r="AO2" s="6"/>
      <c r="AP2" s="6"/>
      <c r="AQ2" s="6"/>
    </row>
    <row r="3" spans="1:43" s="9" customFormat="1" ht="80.25" customHeight="1" thickBot="1">
      <c r="A3" s="10" t="s">
        <v>1</v>
      </c>
      <c r="B3" s="11" t="s">
        <v>2</v>
      </c>
      <c r="C3" s="138" t="s">
        <v>3</v>
      </c>
      <c r="D3" s="12" t="s">
        <v>4</v>
      </c>
      <c r="E3" s="12" t="s">
        <v>5</v>
      </c>
      <c r="F3" s="12" t="s">
        <v>6</v>
      </c>
      <c r="G3" s="12" t="s">
        <v>7</v>
      </c>
      <c r="H3" s="12" t="s">
        <v>8</v>
      </c>
      <c r="I3" s="12" t="s">
        <v>9</v>
      </c>
      <c r="J3" s="13" t="s">
        <v>10</v>
      </c>
      <c r="K3" s="14" t="s">
        <v>11</v>
      </c>
      <c r="L3" s="12" t="s">
        <v>12</v>
      </c>
      <c r="M3" s="12" t="s">
        <v>13</v>
      </c>
      <c r="N3" s="12" t="s">
        <v>14</v>
      </c>
      <c r="O3" s="12" t="s">
        <v>15</v>
      </c>
      <c r="P3" s="15" t="s">
        <v>16</v>
      </c>
      <c r="Q3" s="16" t="s">
        <v>197</v>
      </c>
      <c r="R3" s="148" t="s">
        <v>198</v>
      </c>
      <c r="S3" s="149"/>
      <c r="T3" s="149"/>
      <c r="U3" s="150"/>
      <c r="V3" s="17" t="s">
        <v>17</v>
      </c>
      <c r="W3" s="17" t="s">
        <v>18</v>
      </c>
      <c r="X3" s="18" t="s">
        <v>19</v>
      </c>
      <c r="Y3" s="151" t="s">
        <v>232</v>
      </c>
      <c r="Z3" s="152"/>
      <c r="AA3" s="152"/>
      <c r="AB3" s="152"/>
      <c r="AC3" s="152"/>
      <c r="AD3" s="19"/>
      <c r="AE3" s="20"/>
      <c r="AF3" s="21"/>
      <c r="AG3" s="19"/>
      <c r="AH3" s="21"/>
      <c r="AI3" s="21"/>
      <c r="AJ3" s="21"/>
      <c r="AK3" s="21"/>
      <c r="AL3" s="21"/>
      <c r="AM3" s="21"/>
      <c r="AN3" s="21"/>
      <c r="AO3" s="22"/>
      <c r="AP3" s="23"/>
      <c r="AQ3" s="24"/>
    </row>
    <row r="4" spans="1:43" s="9" customFormat="1" ht="68.25" customHeight="1" thickBot="1">
      <c r="A4" s="25"/>
      <c r="B4" s="26"/>
      <c r="C4" s="139"/>
      <c r="D4" s="27"/>
      <c r="E4" s="27"/>
      <c r="F4" s="27"/>
      <c r="G4" s="27"/>
      <c r="H4" s="27"/>
      <c r="I4" s="27"/>
      <c r="J4" s="28"/>
      <c r="K4" s="29"/>
      <c r="L4" s="27"/>
      <c r="M4" s="27"/>
      <c r="N4" s="27"/>
      <c r="O4" s="27"/>
      <c r="P4" s="30"/>
      <c r="Q4" s="31"/>
      <c r="R4" s="33" t="s">
        <v>20</v>
      </c>
      <c r="S4" s="33" t="s">
        <v>21</v>
      </c>
      <c r="T4" s="33" t="s">
        <v>22</v>
      </c>
      <c r="U4" s="32" t="s">
        <v>217</v>
      </c>
      <c r="V4" s="34"/>
      <c r="W4" s="34"/>
      <c r="X4" s="35"/>
      <c r="Y4" s="36" t="s">
        <v>23</v>
      </c>
      <c r="Z4" s="37" t="s">
        <v>24</v>
      </c>
      <c r="AA4" s="37" t="s">
        <v>25</v>
      </c>
      <c r="AB4" s="38" t="s">
        <v>26</v>
      </c>
      <c r="AC4" s="39" t="s">
        <v>27</v>
      </c>
      <c r="AD4" s="32" t="s">
        <v>25</v>
      </c>
      <c r="AE4" s="33" t="s">
        <v>26</v>
      </c>
      <c r="AF4" s="37" t="s">
        <v>28</v>
      </c>
      <c r="AG4" s="37" t="s">
        <v>25</v>
      </c>
      <c r="AH4" s="37" t="s">
        <v>26</v>
      </c>
      <c r="AI4" s="32" t="s">
        <v>29</v>
      </c>
      <c r="AJ4" s="32" t="s">
        <v>25</v>
      </c>
      <c r="AK4" s="32" t="s">
        <v>26</v>
      </c>
      <c r="AL4" s="37" t="s">
        <v>30</v>
      </c>
      <c r="AM4" s="37" t="s">
        <v>25</v>
      </c>
      <c r="AN4" s="40" t="s">
        <v>26</v>
      </c>
      <c r="AO4" s="41" t="s">
        <v>30</v>
      </c>
      <c r="AP4" s="42" t="s">
        <v>25</v>
      </c>
      <c r="AQ4" s="43" t="s">
        <v>26</v>
      </c>
    </row>
    <row r="5" spans="1:43" s="9" customFormat="1" ht="285.75" customHeight="1">
      <c r="A5" s="44" t="s">
        <v>31</v>
      </c>
      <c r="B5" s="45">
        <v>103</v>
      </c>
      <c r="C5" s="140" t="s">
        <v>199</v>
      </c>
      <c r="D5" s="46" t="s">
        <v>32</v>
      </c>
      <c r="E5" s="47" t="s">
        <v>33</v>
      </c>
      <c r="F5" s="48">
        <v>15669</v>
      </c>
      <c r="G5" s="46" t="s">
        <v>34</v>
      </c>
      <c r="H5" s="46">
        <v>2000</v>
      </c>
      <c r="I5" s="46" t="s">
        <v>35</v>
      </c>
      <c r="J5" s="49">
        <v>71456</v>
      </c>
      <c r="K5" s="46" t="s">
        <v>36</v>
      </c>
      <c r="L5" s="46" t="s">
        <v>180</v>
      </c>
      <c r="M5" s="46" t="s">
        <v>181</v>
      </c>
      <c r="N5" s="46" t="s">
        <v>37</v>
      </c>
      <c r="O5" s="46" t="s">
        <v>38</v>
      </c>
      <c r="P5" s="50" t="s">
        <v>39</v>
      </c>
      <c r="Q5" s="51">
        <f aca="true" t="shared" si="0" ref="Q5:Q21">U5</f>
        <v>31.807599999999997</v>
      </c>
      <c r="R5" s="53">
        <v>0</v>
      </c>
      <c r="S5" s="53">
        <f>416.666666666667*12/1700</f>
        <v>2.941176470588238</v>
      </c>
      <c r="T5" s="51">
        <f>(4327.19-237.78)*12/1700</f>
        <v>28.866423529411758</v>
      </c>
      <c r="U5" s="52">
        <f aca="true" t="shared" si="1" ref="U5:U21">SUM(R5:T5)</f>
        <v>31.807599999999997</v>
      </c>
      <c r="V5" s="53">
        <v>100</v>
      </c>
      <c r="W5" s="53">
        <v>100</v>
      </c>
      <c r="X5" s="46" t="s">
        <v>40</v>
      </c>
      <c r="Y5" s="53">
        <v>100</v>
      </c>
      <c r="Z5" s="54" t="s">
        <v>32</v>
      </c>
      <c r="AA5" s="55" t="s">
        <v>192</v>
      </c>
      <c r="AB5" s="56">
        <v>100</v>
      </c>
      <c r="AC5" s="46"/>
      <c r="AD5" s="46"/>
      <c r="AE5" s="53"/>
      <c r="AF5" s="54"/>
      <c r="AG5" s="54"/>
      <c r="AH5" s="57"/>
      <c r="AI5" s="46"/>
      <c r="AJ5" s="58"/>
      <c r="AK5" s="58"/>
      <c r="AL5" s="57"/>
      <c r="AM5" s="57"/>
      <c r="AN5" s="59"/>
      <c r="AO5" s="60"/>
      <c r="AP5" s="61"/>
      <c r="AQ5" s="62"/>
    </row>
    <row r="6" spans="1:43" s="9" customFormat="1" ht="166.5" customHeight="1">
      <c r="A6" s="63" t="s">
        <v>31</v>
      </c>
      <c r="B6" s="64">
        <v>103</v>
      </c>
      <c r="C6" s="78" t="s">
        <v>200</v>
      </c>
      <c r="D6" s="65" t="s">
        <v>41</v>
      </c>
      <c r="E6" s="66" t="s">
        <v>42</v>
      </c>
      <c r="F6" s="67">
        <v>3374</v>
      </c>
      <c r="G6" s="65" t="s">
        <v>43</v>
      </c>
      <c r="H6" s="65">
        <v>2000</v>
      </c>
      <c r="I6" s="65" t="s">
        <v>44</v>
      </c>
      <c r="J6" s="68">
        <v>241469</v>
      </c>
      <c r="K6" s="65" t="s">
        <v>36</v>
      </c>
      <c r="L6" s="65" t="s">
        <v>45</v>
      </c>
      <c r="M6" s="65" t="s">
        <v>46</v>
      </c>
      <c r="N6" s="65" t="s">
        <v>47</v>
      </c>
      <c r="O6" s="65" t="s">
        <v>48</v>
      </c>
      <c r="P6" s="69" t="s">
        <v>49</v>
      </c>
      <c r="Q6" s="51">
        <f t="shared" si="0"/>
        <v>38.12851764705882</v>
      </c>
      <c r="R6" s="53">
        <v>0</v>
      </c>
      <c r="S6" s="70">
        <f>1500*12/1700</f>
        <v>10.588235294117647</v>
      </c>
      <c r="T6" s="72">
        <f>3901.54*12/1700</f>
        <v>27.540282352941173</v>
      </c>
      <c r="U6" s="52">
        <f t="shared" si="1"/>
        <v>38.12851764705882</v>
      </c>
      <c r="V6" s="70">
        <v>100</v>
      </c>
      <c r="W6" s="70">
        <v>100</v>
      </c>
      <c r="X6" s="71" t="s">
        <v>50</v>
      </c>
      <c r="Y6" s="72" t="s">
        <v>51</v>
      </c>
      <c r="Z6" s="73" t="s">
        <v>41</v>
      </c>
      <c r="AA6" s="73" t="s">
        <v>42</v>
      </c>
      <c r="AB6" s="74">
        <v>100</v>
      </c>
      <c r="AC6" s="65"/>
      <c r="AD6" s="65"/>
      <c r="AE6" s="70"/>
      <c r="AF6" s="73"/>
      <c r="AG6" s="73"/>
      <c r="AH6" s="75"/>
      <c r="AI6" s="65"/>
      <c r="AJ6" s="76"/>
      <c r="AK6" s="76"/>
      <c r="AL6" s="75"/>
      <c r="AM6" s="75"/>
      <c r="AN6" s="77"/>
      <c r="AO6" s="60"/>
      <c r="AP6" s="61"/>
      <c r="AQ6" s="62"/>
    </row>
    <row r="7" spans="1:43" s="9" customFormat="1" ht="96.75" customHeight="1">
      <c r="A7" s="63" t="s">
        <v>31</v>
      </c>
      <c r="B7" s="64">
        <v>103</v>
      </c>
      <c r="C7" s="78" t="s">
        <v>201</v>
      </c>
      <c r="D7" s="65" t="s">
        <v>52</v>
      </c>
      <c r="E7" s="66" t="s">
        <v>53</v>
      </c>
      <c r="F7" s="67">
        <v>4323</v>
      </c>
      <c r="G7" s="65" t="s">
        <v>54</v>
      </c>
      <c r="H7" s="65">
        <v>2002</v>
      </c>
      <c r="I7" s="63" t="s">
        <v>55</v>
      </c>
      <c r="J7" s="68">
        <v>200030</v>
      </c>
      <c r="K7" s="65" t="s">
        <v>56</v>
      </c>
      <c r="L7" s="65" t="s">
        <v>57</v>
      </c>
      <c r="M7" s="65" t="s">
        <v>58</v>
      </c>
      <c r="N7" s="65" t="s">
        <v>59</v>
      </c>
      <c r="O7" s="65" t="s">
        <v>60</v>
      </c>
      <c r="P7" s="78" t="s">
        <v>61</v>
      </c>
      <c r="Q7" s="51">
        <f t="shared" si="0"/>
        <v>26.265435294117644</v>
      </c>
      <c r="R7" s="53">
        <v>0</v>
      </c>
      <c r="S7" s="70">
        <f>41.6666666666667*12/1700</f>
        <v>0.29411764705882376</v>
      </c>
      <c r="T7" s="72">
        <f>3679.27*12/1700</f>
        <v>25.97131764705882</v>
      </c>
      <c r="U7" s="52">
        <f t="shared" si="1"/>
        <v>26.265435294117644</v>
      </c>
      <c r="V7" s="70">
        <v>100</v>
      </c>
      <c r="W7" s="70">
        <v>100</v>
      </c>
      <c r="X7" s="65" t="s">
        <v>62</v>
      </c>
      <c r="Y7" s="70">
        <v>100</v>
      </c>
      <c r="Z7" s="79" t="s">
        <v>52</v>
      </c>
      <c r="AA7" s="55" t="s">
        <v>53</v>
      </c>
      <c r="AB7" s="74">
        <v>80</v>
      </c>
      <c r="AC7" s="80" t="s">
        <v>63</v>
      </c>
      <c r="AD7" s="65"/>
      <c r="AE7" s="70">
        <v>20</v>
      </c>
      <c r="AF7" s="79"/>
      <c r="AG7" s="73"/>
      <c r="AH7" s="75"/>
      <c r="AI7" s="81"/>
      <c r="AJ7" s="76"/>
      <c r="AK7" s="76"/>
      <c r="AL7" s="75"/>
      <c r="AM7" s="75"/>
      <c r="AN7" s="77"/>
      <c r="AO7" s="60"/>
      <c r="AP7" s="61"/>
      <c r="AQ7" s="62"/>
    </row>
    <row r="8" spans="1:43" s="9" customFormat="1" ht="127.5">
      <c r="A8" s="82" t="s">
        <v>31</v>
      </c>
      <c r="B8" s="64">
        <v>103</v>
      </c>
      <c r="C8" s="78" t="s">
        <v>202</v>
      </c>
      <c r="D8" s="65" t="s">
        <v>64</v>
      </c>
      <c r="E8" s="66" t="s">
        <v>65</v>
      </c>
      <c r="F8" s="67">
        <v>14126</v>
      </c>
      <c r="G8" s="83" t="s">
        <v>66</v>
      </c>
      <c r="H8" s="65">
        <v>2002</v>
      </c>
      <c r="I8" s="83" t="s">
        <v>67</v>
      </c>
      <c r="J8" s="68">
        <v>117885</v>
      </c>
      <c r="K8" s="65" t="s">
        <v>56</v>
      </c>
      <c r="L8" s="65" t="s">
        <v>57</v>
      </c>
      <c r="M8" s="65" t="s">
        <v>58</v>
      </c>
      <c r="N8" s="83" t="s">
        <v>68</v>
      </c>
      <c r="O8" s="83" t="s">
        <v>69</v>
      </c>
      <c r="P8" s="69" t="s">
        <v>70</v>
      </c>
      <c r="Q8" s="72">
        <f t="shared" si="0"/>
        <v>27.921811764705883</v>
      </c>
      <c r="R8" s="70">
        <v>0</v>
      </c>
      <c r="S8" s="70">
        <f>25*12/1700</f>
        <v>0.17647058823529413</v>
      </c>
      <c r="T8" s="72">
        <f>3930.59*12/1700</f>
        <v>27.74534117647059</v>
      </c>
      <c r="U8" s="52">
        <f t="shared" si="1"/>
        <v>27.921811764705883</v>
      </c>
      <c r="V8" s="70">
        <v>100</v>
      </c>
      <c r="W8" s="70">
        <v>100</v>
      </c>
      <c r="X8" s="46" t="s">
        <v>40</v>
      </c>
      <c r="Y8" s="70">
        <v>100</v>
      </c>
      <c r="Z8" s="73" t="s">
        <v>64</v>
      </c>
      <c r="AA8" s="73" t="s">
        <v>65</v>
      </c>
      <c r="AB8" s="74">
        <v>40</v>
      </c>
      <c r="AC8" s="65" t="s">
        <v>71</v>
      </c>
      <c r="AD8" s="65" t="s">
        <v>193</v>
      </c>
      <c r="AE8" s="70">
        <v>40</v>
      </c>
      <c r="AF8" s="73" t="s">
        <v>72</v>
      </c>
      <c r="AG8" s="73"/>
      <c r="AH8" s="75">
        <v>10</v>
      </c>
      <c r="AI8" s="65" t="s">
        <v>73</v>
      </c>
      <c r="AJ8" s="76"/>
      <c r="AK8" s="76">
        <v>10</v>
      </c>
      <c r="AL8" s="75"/>
      <c r="AM8" s="75"/>
      <c r="AN8" s="77"/>
      <c r="AO8" s="60"/>
      <c r="AP8" s="61"/>
      <c r="AQ8" s="62"/>
    </row>
    <row r="9" spans="1:43" s="9" customFormat="1" ht="102">
      <c r="A9" s="63" t="s">
        <v>31</v>
      </c>
      <c r="B9" s="64">
        <v>103</v>
      </c>
      <c r="C9" s="78" t="s">
        <v>203</v>
      </c>
      <c r="D9" s="65" t="s">
        <v>74</v>
      </c>
      <c r="E9" s="66" t="s">
        <v>75</v>
      </c>
      <c r="F9" s="67">
        <v>868</v>
      </c>
      <c r="G9" s="65" t="s">
        <v>76</v>
      </c>
      <c r="H9" s="65">
        <v>2003</v>
      </c>
      <c r="I9" s="65" t="s">
        <v>77</v>
      </c>
      <c r="J9" s="68">
        <v>51948</v>
      </c>
      <c r="K9" s="65" t="s">
        <v>56</v>
      </c>
      <c r="L9" s="65" t="s">
        <v>78</v>
      </c>
      <c r="M9" s="65" t="s">
        <v>79</v>
      </c>
      <c r="N9" s="65" t="s">
        <v>80</v>
      </c>
      <c r="O9" s="65" t="s">
        <v>81</v>
      </c>
      <c r="P9" s="69" t="s">
        <v>82</v>
      </c>
      <c r="Q9" s="72">
        <f t="shared" si="0"/>
        <v>46.81357647058824</v>
      </c>
      <c r="R9" s="70">
        <v>0</v>
      </c>
      <c r="S9" s="70">
        <f>833.333333333333*12/1700</f>
        <v>5.882352941176468</v>
      </c>
      <c r="T9" s="72">
        <f>5798.59*12/1700</f>
        <v>40.93122352941177</v>
      </c>
      <c r="U9" s="52">
        <f t="shared" si="1"/>
        <v>46.81357647058824</v>
      </c>
      <c r="V9" s="70">
        <v>100</v>
      </c>
      <c r="W9" s="70">
        <v>100</v>
      </c>
      <c r="X9" s="46" t="s">
        <v>40</v>
      </c>
      <c r="Y9" s="70">
        <v>100</v>
      </c>
      <c r="Z9" s="73" t="s">
        <v>83</v>
      </c>
      <c r="AA9" s="73" t="s">
        <v>194</v>
      </c>
      <c r="AB9" s="74">
        <v>16</v>
      </c>
      <c r="AC9" s="65" t="s">
        <v>41</v>
      </c>
      <c r="AD9" s="65" t="s">
        <v>42</v>
      </c>
      <c r="AE9" s="70">
        <v>16</v>
      </c>
      <c r="AF9" s="73" t="s">
        <v>84</v>
      </c>
      <c r="AG9" s="73" t="s">
        <v>195</v>
      </c>
      <c r="AH9" s="75">
        <v>23</v>
      </c>
      <c r="AI9" s="65" t="s">
        <v>73</v>
      </c>
      <c r="AJ9" s="76"/>
      <c r="AK9" s="76">
        <v>9</v>
      </c>
      <c r="AL9" s="75" t="s">
        <v>85</v>
      </c>
      <c r="AM9" s="75" t="s">
        <v>75</v>
      </c>
      <c r="AN9" s="77">
        <v>26</v>
      </c>
      <c r="AO9" s="84" t="s">
        <v>86</v>
      </c>
      <c r="AP9" s="61"/>
      <c r="AQ9" s="62">
        <v>10</v>
      </c>
    </row>
    <row r="10" spans="1:43" s="9" customFormat="1" ht="229.5">
      <c r="A10" s="63" t="s">
        <v>31</v>
      </c>
      <c r="B10" s="64">
        <v>103</v>
      </c>
      <c r="C10" s="78" t="s">
        <v>204</v>
      </c>
      <c r="D10" s="65" t="s">
        <v>87</v>
      </c>
      <c r="E10" s="66" t="s">
        <v>88</v>
      </c>
      <c r="F10" s="67">
        <v>6707</v>
      </c>
      <c r="G10" s="65" t="s">
        <v>89</v>
      </c>
      <c r="H10" s="65">
        <v>2003</v>
      </c>
      <c r="I10" s="65" t="s">
        <v>90</v>
      </c>
      <c r="J10" s="68">
        <v>43086.04</v>
      </c>
      <c r="K10" s="65" t="s">
        <v>56</v>
      </c>
      <c r="L10" s="85" t="s">
        <v>182</v>
      </c>
      <c r="M10" s="85" t="s">
        <v>183</v>
      </c>
      <c r="N10" s="65" t="s">
        <v>91</v>
      </c>
      <c r="O10" s="65" t="s">
        <v>92</v>
      </c>
      <c r="P10" s="69" t="s">
        <v>93</v>
      </c>
      <c r="Q10" s="72">
        <f t="shared" si="0"/>
        <v>28.333576470588234</v>
      </c>
      <c r="R10" s="70">
        <v>0</v>
      </c>
      <c r="S10" s="70">
        <f>83.3333333333333*12/1700</f>
        <v>0.5882352941176467</v>
      </c>
      <c r="T10" s="72">
        <f>3930.59*12/1700</f>
        <v>27.74534117647059</v>
      </c>
      <c r="U10" s="52">
        <f t="shared" si="1"/>
        <v>28.333576470588234</v>
      </c>
      <c r="V10" s="70">
        <v>100</v>
      </c>
      <c r="W10" s="70">
        <v>100</v>
      </c>
      <c r="X10" s="46" t="s">
        <v>40</v>
      </c>
      <c r="Y10" s="70">
        <v>100</v>
      </c>
      <c r="Z10" s="73" t="s">
        <v>64</v>
      </c>
      <c r="AA10" s="73" t="s">
        <v>65</v>
      </c>
      <c r="AB10" s="74">
        <v>40</v>
      </c>
      <c r="AC10" s="65" t="s">
        <v>94</v>
      </c>
      <c r="AD10" s="65"/>
      <c r="AE10" s="70">
        <v>30</v>
      </c>
      <c r="AF10" s="73" t="s">
        <v>94</v>
      </c>
      <c r="AG10" s="73"/>
      <c r="AH10" s="75">
        <v>30</v>
      </c>
      <c r="AI10" s="65"/>
      <c r="AJ10" s="76"/>
      <c r="AK10" s="76"/>
      <c r="AL10" s="75"/>
      <c r="AM10" s="75"/>
      <c r="AN10" s="77"/>
      <c r="AO10" s="60"/>
      <c r="AP10" s="61"/>
      <c r="AQ10" s="62"/>
    </row>
    <row r="11" spans="1:43" s="9" customFormat="1" ht="76.5">
      <c r="A11" s="63" t="s">
        <v>95</v>
      </c>
      <c r="B11" s="64">
        <v>103</v>
      </c>
      <c r="C11" s="78" t="s">
        <v>201</v>
      </c>
      <c r="D11" s="65" t="s">
        <v>52</v>
      </c>
      <c r="E11" s="66" t="s">
        <v>96</v>
      </c>
      <c r="F11" s="86">
        <v>23386</v>
      </c>
      <c r="G11" s="65" t="s">
        <v>97</v>
      </c>
      <c r="H11" s="65">
        <v>2006</v>
      </c>
      <c r="I11" s="65" t="s">
        <v>98</v>
      </c>
      <c r="J11" s="68">
        <v>410002</v>
      </c>
      <c r="K11" s="65" t="s">
        <v>99</v>
      </c>
      <c r="L11" s="65" t="s">
        <v>57</v>
      </c>
      <c r="M11" s="65" t="s">
        <v>58</v>
      </c>
      <c r="N11" s="65" t="s">
        <v>100</v>
      </c>
      <c r="O11" s="65" t="s">
        <v>101</v>
      </c>
      <c r="P11" s="69" t="s">
        <v>102</v>
      </c>
      <c r="Q11" s="72">
        <f t="shared" si="0"/>
        <v>55.90903529411764</v>
      </c>
      <c r="R11" s="70">
        <f>44394.12/1700</f>
        <v>26.11418823529412</v>
      </c>
      <c r="S11" s="70">
        <f>6500/1700</f>
        <v>3.823529411764706</v>
      </c>
      <c r="T11" s="72">
        <f>3679.27*12/1700</f>
        <v>25.97131764705882</v>
      </c>
      <c r="U11" s="52">
        <f t="shared" si="1"/>
        <v>55.90903529411764</v>
      </c>
      <c r="V11" s="70">
        <v>100</v>
      </c>
      <c r="W11" s="70">
        <v>96.67</v>
      </c>
      <c r="X11" s="46" t="s">
        <v>40</v>
      </c>
      <c r="Y11" s="70">
        <v>100</v>
      </c>
      <c r="Z11" s="79" t="s">
        <v>52</v>
      </c>
      <c r="AA11" s="73" t="s">
        <v>53</v>
      </c>
      <c r="AB11" s="74"/>
      <c r="AC11" s="81"/>
      <c r="AD11" s="65"/>
      <c r="AE11" s="70"/>
      <c r="AF11" s="79"/>
      <c r="AG11" s="73"/>
      <c r="AH11" s="75"/>
      <c r="AI11" s="81"/>
      <c r="AJ11" s="76"/>
      <c r="AK11" s="76"/>
      <c r="AL11" s="75"/>
      <c r="AM11" s="75"/>
      <c r="AN11" s="77"/>
      <c r="AO11" s="60"/>
      <c r="AP11" s="61"/>
      <c r="AQ11" s="62"/>
    </row>
    <row r="12" spans="1:43" s="9" customFormat="1" ht="344.25">
      <c r="A12" s="63" t="s">
        <v>95</v>
      </c>
      <c r="B12" s="64">
        <v>103</v>
      </c>
      <c r="C12" s="78" t="s">
        <v>200</v>
      </c>
      <c r="D12" s="65" t="s">
        <v>41</v>
      </c>
      <c r="E12" s="66" t="s">
        <v>103</v>
      </c>
      <c r="F12" s="87" t="s">
        <v>104</v>
      </c>
      <c r="G12" s="65" t="s">
        <v>105</v>
      </c>
      <c r="H12" s="65">
        <v>2005</v>
      </c>
      <c r="I12" s="65" t="s">
        <v>106</v>
      </c>
      <c r="J12" s="68">
        <v>296384</v>
      </c>
      <c r="K12" s="65" t="s">
        <v>99</v>
      </c>
      <c r="L12" s="65" t="s">
        <v>228</v>
      </c>
      <c r="M12" s="65" t="s">
        <v>229</v>
      </c>
      <c r="N12" s="65" t="s">
        <v>184</v>
      </c>
      <c r="O12" s="65" t="s">
        <v>185</v>
      </c>
      <c r="P12" s="69" t="s">
        <v>107</v>
      </c>
      <c r="Q12" s="72">
        <f t="shared" si="0"/>
        <v>52.192235294117665</v>
      </c>
      <c r="R12" s="70">
        <f>21908.32/1700</f>
        <v>12.88724705882353</v>
      </c>
      <c r="S12" s="70">
        <f>1666.66666666667*12/1700</f>
        <v>11.764705882352965</v>
      </c>
      <c r="T12" s="72">
        <f>3901.54*12/1700</f>
        <v>27.540282352941173</v>
      </c>
      <c r="U12" s="52">
        <f t="shared" si="1"/>
        <v>52.192235294117665</v>
      </c>
      <c r="V12" s="70">
        <v>100</v>
      </c>
      <c r="W12" s="70">
        <v>100</v>
      </c>
      <c r="X12" s="46" t="s">
        <v>40</v>
      </c>
      <c r="Y12" s="70">
        <v>100</v>
      </c>
      <c r="Z12" s="73" t="s">
        <v>41</v>
      </c>
      <c r="AA12" s="73" t="s">
        <v>42</v>
      </c>
      <c r="AB12" s="74">
        <v>60</v>
      </c>
      <c r="AC12" s="65" t="s">
        <v>108</v>
      </c>
      <c r="AD12" s="65" t="s">
        <v>194</v>
      </c>
      <c r="AE12" s="70">
        <v>30</v>
      </c>
      <c r="AF12" s="73" t="s">
        <v>73</v>
      </c>
      <c r="AG12" s="73"/>
      <c r="AH12" s="75">
        <v>10</v>
      </c>
      <c r="AI12" s="65"/>
      <c r="AJ12" s="76"/>
      <c r="AK12" s="76"/>
      <c r="AL12" s="75"/>
      <c r="AM12" s="75"/>
      <c r="AN12" s="77"/>
      <c r="AO12" s="60"/>
      <c r="AP12" s="61"/>
      <c r="AQ12" s="62"/>
    </row>
    <row r="13" spans="1:43" s="9" customFormat="1" ht="204">
      <c r="A13" s="63" t="s">
        <v>95</v>
      </c>
      <c r="B13" s="64">
        <v>103</v>
      </c>
      <c r="C13" s="78" t="s">
        <v>202</v>
      </c>
      <c r="D13" s="65" t="s">
        <v>64</v>
      </c>
      <c r="E13" s="66" t="s">
        <v>65</v>
      </c>
      <c r="F13" s="67">
        <v>14126</v>
      </c>
      <c r="G13" s="65" t="s">
        <v>109</v>
      </c>
      <c r="H13" s="65">
        <v>2005</v>
      </c>
      <c r="I13" s="83" t="s">
        <v>110</v>
      </c>
      <c r="J13" s="68">
        <v>133819</v>
      </c>
      <c r="K13" s="65" t="s">
        <v>99</v>
      </c>
      <c r="L13" s="65" t="s">
        <v>57</v>
      </c>
      <c r="M13" s="65" t="s">
        <v>58</v>
      </c>
      <c r="N13" s="83" t="s">
        <v>111</v>
      </c>
      <c r="O13" s="83" t="s">
        <v>112</v>
      </c>
      <c r="P13" s="69" t="s">
        <v>113</v>
      </c>
      <c r="Q13" s="72">
        <f t="shared" si="0"/>
        <v>36.453888235294116</v>
      </c>
      <c r="R13" s="70">
        <f>12304.53/1700</f>
        <v>7.2379588235294126</v>
      </c>
      <c r="S13" s="70">
        <f>208.333333333333*12/1700</f>
        <v>1.4705882352941153</v>
      </c>
      <c r="T13" s="72">
        <f>3930.59*12/1700</f>
        <v>27.74534117647059</v>
      </c>
      <c r="U13" s="52">
        <f t="shared" si="1"/>
        <v>36.453888235294116</v>
      </c>
      <c r="V13" s="70">
        <v>100</v>
      </c>
      <c r="W13" s="70">
        <v>100</v>
      </c>
      <c r="X13" s="46" t="s">
        <v>40</v>
      </c>
      <c r="Y13" s="70">
        <v>100</v>
      </c>
      <c r="Z13" s="73" t="s">
        <v>64</v>
      </c>
      <c r="AA13" s="73" t="s">
        <v>65</v>
      </c>
      <c r="AB13" s="74">
        <v>40</v>
      </c>
      <c r="AC13" s="65" t="s">
        <v>71</v>
      </c>
      <c r="AD13" s="65" t="s">
        <v>193</v>
      </c>
      <c r="AE13" s="70">
        <v>10</v>
      </c>
      <c r="AF13" s="73" t="s">
        <v>114</v>
      </c>
      <c r="AG13" s="73"/>
      <c r="AH13" s="75">
        <v>30</v>
      </c>
      <c r="AI13" s="65" t="s">
        <v>72</v>
      </c>
      <c r="AJ13" s="76"/>
      <c r="AK13" s="76">
        <v>10</v>
      </c>
      <c r="AL13" s="75" t="s">
        <v>73</v>
      </c>
      <c r="AM13" s="75"/>
      <c r="AN13" s="77"/>
      <c r="AO13" s="60"/>
      <c r="AP13" s="61"/>
      <c r="AQ13" s="62">
        <v>10</v>
      </c>
    </row>
    <row r="14" spans="1:43" s="9" customFormat="1" ht="267.75">
      <c r="A14" s="63" t="s">
        <v>95</v>
      </c>
      <c r="B14" s="64">
        <v>103</v>
      </c>
      <c r="C14" s="78" t="s">
        <v>199</v>
      </c>
      <c r="D14" s="65" t="s">
        <v>32</v>
      </c>
      <c r="E14" s="66" t="s">
        <v>115</v>
      </c>
      <c r="F14" s="67">
        <v>872</v>
      </c>
      <c r="G14" s="65" t="s">
        <v>116</v>
      </c>
      <c r="H14" s="65">
        <v>2004</v>
      </c>
      <c r="I14" s="65" t="s">
        <v>117</v>
      </c>
      <c r="J14" s="68">
        <v>85342</v>
      </c>
      <c r="K14" s="65" t="s">
        <v>99</v>
      </c>
      <c r="L14" s="65" t="s">
        <v>180</v>
      </c>
      <c r="M14" s="65" t="s">
        <v>181</v>
      </c>
      <c r="N14" s="65" t="s">
        <v>118</v>
      </c>
      <c r="O14" s="65" t="s">
        <v>119</v>
      </c>
      <c r="P14" s="69" t="s">
        <v>120</v>
      </c>
      <c r="Q14" s="72">
        <f t="shared" si="0"/>
        <v>32.395835294117646</v>
      </c>
      <c r="R14" s="70">
        <v>0</v>
      </c>
      <c r="S14" s="70">
        <f>500*12/1700</f>
        <v>3.5294117647058822</v>
      </c>
      <c r="T14" s="72">
        <f>4089.41*12/1700</f>
        <v>28.866423529411765</v>
      </c>
      <c r="U14" s="52">
        <f t="shared" si="1"/>
        <v>32.395835294117646</v>
      </c>
      <c r="V14" s="70">
        <v>100</v>
      </c>
      <c r="W14" s="70">
        <v>100</v>
      </c>
      <c r="X14" s="65" t="s">
        <v>40</v>
      </c>
      <c r="Y14" s="70">
        <v>100</v>
      </c>
      <c r="Z14" s="73" t="s">
        <v>32</v>
      </c>
      <c r="AA14" s="55" t="s">
        <v>192</v>
      </c>
      <c r="AB14" s="74">
        <v>100</v>
      </c>
      <c r="AC14" s="65"/>
      <c r="AD14" s="65"/>
      <c r="AE14" s="70"/>
      <c r="AF14" s="73"/>
      <c r="AG14" s="73"/>
      <c r="AH14" s="75"/>
      <c r="AI14" s="65" t="s">
        <v>121</v>
      </c>
      <c r="AJ14" s="76"/>
      <c r="AK14" s="76"/>
      <c r="AL14" s="75"/>
      <c r="AM14" s="75"/>
      <c r="AN14" s="77"/>
      <c r="AO14" s="60"/>
      <c r="AP14" s="61"/>
      <c r="AQ14" s="62"/>
    </row>
    <row r="15" spans="1:43" s="9" customFormat="1" ht="191.25">
      <c r="A15" s="63" t="s">
        <v>95</v>
      </c>
      <c r="B15" s="64">
        <v>103</v>
      </c>
      <c r="C15" s="78" t="s">
        <v>199</v>
      </c>
      <c r="D15" s="65" t="s">
        <v>32</v>
      </c>
      <c r="E15" s="66" t="s">
        <v>122</v>
      </c>
      <c r="F15" s="87" t="s">
        <v>215</v>
      </c>
      <c r="G15" s="65" t="s">
        <v>123</v>
      </c>
      <c r="H15" s="65">
        <v>2007</v>
      </c>
      <c r="I15" s="65" t="s">
        <v>124</v>
      </c>
      <c r="J15" s="68">
        <v>150157</v>
      </c>
      <c r="K15" s="65" t="s">
        <v>125</v>
      </c>
      <c r="L15" s="65" t="s">
        <v>230</v>
      </c>
      <c r="M15" s="65" t="s">
        <v>231</v>
      </c>
      <c r="N15" s="65" t="s">
        <v>126</v>
      </c>
      <c r="O15" s="65" t="s">
        <v>127</v>
      </c>
      <c r="P15" s="69" t="s">
        <v>128</v>
      </c>
      <c r="Q15" s="72">
        <f t="shared" si="0"/>
        <v>50.21868235294117</v>
      </c>
      <c r="R15" s="70">
        <f>26298.84/1700</f>
        <v>15.469905882352942</v>
      </c>
      <c r="S15" s="70">
        <f>833.333333333333*12/1700</f>
        <v>5.882352941176468</v>
      </c>
      <c r="T15" s="72">
        <f>4089.41*12/1700</f>
        <v>28.866423529411765</v>
      </c>
      <c r="U15" s="52">
        <f t="shared" si="1"/>
        <v>50.21868235294117</v>
      </c>
      <c r="V15" s="70">
        <v>100</v>
      </c>
      <c r="W15" s="70">
        <v>66</v>
      </c>
      <c r="X15" s="65" t="s">
        <v>40</v>
      </c>
      <c r="Y15" s="70">
        <v>100</v>
      </c>
      <c r="Z15" s="73" t="s">
        <v>32</v>
      </c>
      <c r="AA15" s="73" t="s">
        <v>192</v>
      </c>
      <c r="AB15" s="74">
        <v>100</v>
      </c>
      <c r="AC15" s="65"/>
      <c r="AD15" s="65"/>
      <c r="AE15" s="70"/>
      <c r="AF15" s="73"/>
      <c r="AG15" s="73"/>
      <c r="AH15" s="75"/>
      <c r="AI15" s="65"/>
      <c r="AJ15" s="76"/>
      <c r="AK15" s="76"/>
      <c r="AL15" s="75"/>
      <c r="AM15" s="75"/>
      <c r="AN15" s="77"/>
      <c r="AO15" s="60"/>
      <c r="AP15" s="61"/>
      <c r="AQ15" s="62"/>
    </row>
    <row r="16" spans="1:43" s="9" customFormat="1" ht="69.75" customHeight="1">
      <c r="A16" s="63" t="s">
        <v>95</v>
      </c>
      <c r="B16" s="64">
        <v>103</v>
      </c>
      <c r="C16" s="78" t="s">
        <v>200</v>
      </c>
      <c r="D16" s="65" t="s">
        <v>41</v>
      </c>
      <c r="E16" s="66" t="s">
        <v>129</v>
      </c>
      <c r="F16" s="87" t="s">
        <v>130</v>
      </c>
      <c r="G16" s="65" t="s">
        <v>131</v>
      </c>
      <c r="H16" s="65">
        <v>2007</v>
      </c>
      <c r="I16" s="65" t="s">
        <v>132</v>
      </c>
      <c r="J16" s="68">
        <v>48075</v>
      </c>
      <c r="K16" s="65" t="s">
        <v>125</v>
      </c>
      <c r="L16" s="65" t="s">
        <v>57</v>
      </c>
      <c r="M16" s="65" t="s">
        <v>58</v>
      </c>
      <c r="N16" s="65" t="s">
        <v>133</v>
      </c>
      <c r="O16" s="65" t="s">
        <v>134</v>
      </c>
      <c r="P16" s="69" t="s">
        <v>135</v>
      </c>
      <c r="Q16" s="72">
        <f t="shared" si="0"/>
        <v>33.149011764705875</v>
      </c>
      <c r="R16" s="70">
        <f>9534.84/1700</f>
        <v>5.608729411764706</v>
      </c>
      <c r="S16" s="70">
        <v>0</v>
      </c>
      <c r="T16" s="72">
        <f>3901.54*12/1700</f>
        <v>27.540282352941173</v>
      </c>
      <c r="U16" s="52">
        <f t="shared" si="1"/>
        <v>33.149011764705875</v>
      </c>
      <c r="V16" s="70">
        <v>100</v>
      </c>
      <c r="W16" s="70">
        <v>73.33</v>
      </c>
      <c r="X16" s="65" t="s">
        <v>40</v>
      </c>
      <c r="Y16" s="70">
        <v>100</v>
      </c>
      <c r="Z16" s="73" t="s">
        <v>41</v>
      </c>
      <c r="AA16" s="55" t="s">
        <v>42</v>
      </c>
      <c r="AB16" s="88">
        <v>0.33</v>
      </c>
      <c r="AC16" s="65" t="s">
        <v>108</v>
      </c>
      <c r="AD16" s="89" t="s">
        <v>194</v>
      </c>
      <c r="AE16" s="90">
        <v>0.33</v>
      </c>
      <c r="AF16" s="55" t="s">
        <v>72</v>
      </c>
      <c r="AG16" s="55"/>
      <c r="AH16" s="88">
        <v>0.33</v>
      </c>
      <c r="AI16" s="65"/>
      <c r="AJ16" s="76"/>
      <c r="AK16" s="76"/>
      <c r="AL16" s="75"/>
      <c r="AM16" s="75"/>
      <c r="AN16" s="77"/>
      <c r="AO16" s="60"/>
      <c r="AP16" s="61"/>
      <c r="AQ16" s="62"/>
    </row>
    <row r="17" spans="1:43" ht="38.25">
      <c r="A17" s="63" t="s">
        <v>95</v>
      </c>
      <c r="B17" s="64">
        <v>103</v>
      </c>
      <c r="C17" s="78" t="s">
        <v>201</v>
      </c>
      <c r="D17" s="91" t="s">
        <v>52</v>
      </c>
      <c r="E17" s="92" t="s">
        <v>136</v>
      </c>
      <c r="F17" s="86">
        <v>6117</v>
      </c>
      <c r="G17" s="65" t="s">
        <v>137</v>
      </c>
      <c r="H17" s="65">
        <v>2003</v>
      </c>
      <c r="I17" s="93" t="s">
        <v>138</v>
      </c>
      <c r="J17" s="68">
        <v>40530.74</v>
      </c>
      <c r="K17" s="65" t="s">
        <v>139</v>
      </c>
      <c r="L17" s="91" t="s">
        <v>57</v>
      </c>
      <c r="M17" s="93" t="s">
        <v>58</v>
      </c>
      <c r="N17" s="93" t="s">
        <v>140</v>
      </c>
      <c r="O17" s="93" t="s">
        <v>141</v>
      </c>
      <c r="P17" s="94" t="s">
        <v>142</v>
      </c>
      <c r="Q17" s="72">
        <f t="shared" si="0"/>
        <v>27.736023529411764</v>
      </c>
      <c r="R17" s="95">
        <v>0</v>
      </c>
      <c r="S17" s="95">
        <f>250*12/1700</f>
        <v>1.7647058823529411</v>
      </c>
      <c r="T17" s="97">
        <f>3679.27*12/1700</f>
        <v>25.97131764705882</v>
      </c>
      <c r="U17" s="52">
        <f t="shared" si="1"/>
        <v>27.736023529411764</v>
      </c>
      <c r="V17" s="95">
        <v>100</v>
      </c>
      <c r="W17" s="95">
        <v>100</v>
      </c>
      <c r="X17" s="93" t="s">
        <v>40</v>
      </c>
      <c r="Y17" s="95">
        <v>100</v>
      </c>
      <c r="Z17" s="96" t="s">
        <v>52</v>
      </c>
      <c r="AA17" s="73" t="s">
        <v>53</v>
      </c>
      <c r="AB17" s="74">
        <v>90</v>
      </c>
      <c r="AC17" s="80" t="s">
        <v>72</v>
      </c>
      <c r="AD17" s="93"/>
      <c r="AE17" s="95">
        <v>10</v>
      </c>
      <c r="AF17" s="79"/>
      <c r="AG17" s="73"/>
      <c r="AH17" s="75"/>
      <c r="AI17" s="81"/>
      <c r="AJ17" s="91"/>
      <c r="AK17" s="91"/>
      <c r="AL17" s="75"/>
      <c r="AM17" s="75"/>
      <c r="AN17" s="77"/>
      <c r="AO17" s="60"/>
      <c r="AP17" s="61"/>
      <c r="AQ17" s="62"/>
    </row>
    <row r="18" spans="1:43" ht="109.5" customHeight="1">
      <c r="A18" s="63" t="s">
        <v>95</v>
      </c>
      <c r="B18" s="64">
        <v>103</v>
      </c>
      <c r="C18" s="78" t="s">
        <v>201</v>
      </c>
      <c r="D18" s="91" t="s">
        <v>52</v>
      </c>
      <c r="E18" s="92" t="s">
        <v>143</v>
      </c>
      <c r="F18" s="86">
        <v>13530</v>
      </c>
      <c r="G18" s="65" t="s">
        <v>144</v>
      </c>
      <c r="H18" s="65">
        <v>2007</v>
      </c>
      <c r="I18" s="93" t="s">
        <v>145</v>
      </c>
      <c r="J18" s="68">
        <v>86603.38</v>
      </c>
      <c r="K18" s="65" t="s">
        <v>139</v>
      </c>
      <c r="L18" s="91" t="s">
        <v>57</v>
      </c>
      <c r="M18" s="93" t="s">
        <v>58</v>
      </c>
      <c r="N18" s="93" t="s">
        <v>146</v>
      </c>
      <c r="O18" s="93" t="s">
        <v>147</v>
      </c>
      <c r="P18" s="94" t="s">
        <v>148</v>
      </c>
      <c r="Q18" s="72">
        <f t="shared" si="0"/>
        <v>36.37945882352941</v>
      </c>
      <c r="R18" s="95">
        <f>17327.88/1700</f>
        <v>10.192870588235294</v>
      </c>
      <c r="S18" s="97">
        <f>541.666666666667*12/1700</f>
        <v>3.823529411764708</v>
      </c>
      <c r="T18" s="97">
        <f>3168.1*12/1700</f>
        <v>22.36305882352941</v>
      </c>
      <c r="U18" s="52">
        <f t="shared" si="1"/>
        <v>36.37945882352941</v>
      </c>
      <c r="V18" s="95">
        <v>100</v>
      </c>
      <c r="W18" s="95">
        <v>35</v>
      </c>
      <c r="X18" s="93" t="s">
        <v>149</v>
      </c>
      <c r="Y18" s="95">
        <v>100</v>
      </c>
      <c r="Z18" s="79" t="s">
        <v>52</v>
      </c>
      <c r="AA18" s="55" t="s">
        <v>53</v>
      </c>
      <c r="AB18" s="74">
        <v>100</v>
      </c>
      <c r="AC18" s="81"/>
      <c r="AD18" s="93"/>
      <c r="AE18" s="95"/>
      <c r="AF18" s="79"/>
      <c r="AG18" s="73"/>
      <c r="AH18" s="75"/>
      <c r="AI18" s="81"/>
      <c r="AJ18" s="91"/>
      <c r="AK18" s="91"/>
      <c r="AL18" s="75"/>
      <c r="AM18" s="75"/>
      <c r="AN18" s="77"/>
      <c r="AO18" s="60"/>
      <c r="AP18" s="61"/>
      <c r="AQ18" s="62"/>
    </row>
    <row r="19" spans="1:43" ht="117.75" customHeight="1">
      <c r="A19" s="63" t="s">
        <v>95</v>
      </c>
      <c r="B19" s="64">
        <v>103</v>
      </c>
      <c r="C19" s="78" t="s">
        <v>201</v>
      </c>
      <c r="D19" s="91" t="s">
        <v>52</v>
      </c>
      <c r="E19" s="92" t="s">
        <v>150</v>
      </c>
      <c r="F19" s="86">
        <v>17844</v>
      </c>
      <c r="G19" s="65" t="s">
        <v>151</v>
      </c>
      <c r="H19" s="65">
        <v>2007</v>
      </c>
      <c r="I19" s="93" t="s">
        <v>152</v>
      </c>
      <c r="J19" s="68">
        <v>41345.96</v>
      </c>
      <c r="K19" s="65" t="s">
        <v>139</v>
      </c>
      <c r="L19" s="91" t="s">
        <v>57</v>
      </c>
      <c r="M19" s="93" t="s">
        <v>153</v>
      </c>
      <c r="N19" s="93" t="s">
        <v>154</v>
      </c>
      <c r="O19" s="93" t="s">
        <v>155</v>
      </c>
      <c r="P19" s="94" t="s">
        <v>156</v>
      </c>
      <c r="Q19" s="72">
        <f t="shared" si="0"/>
        <v>28.706058823529407</v>
      </c>
      <c r="R19" s="95">
        <f>8283.1/1700</f>
        <v>4.872411764705882</v>
      </c>
      <c r="S19" s="97">
        <f>208.333333333333*12/1700</f>
        <v>1.4705882352941153</v>
      </c>
      <c r="T19" s="97">
        <f>3168.1*12/1700</f>
        <v>22.36305882352941</v>
      </c>
      <c r="U19" s="52">
        <f t="shared" si="1"/>
        <v>28.706058823529407</v>
      </c>
      <c r="V19" s="95">
        <v>100</v>
      </c>
      <c r="W19" s="95">
        <v>68.33</v>
      </c>
      <c r="X19" s="93" t="s">
        <v>149</v>
      </c>
      <c r="Y19" s="95">
        <v>100</v>
      </c>
      <c r="Z19" s="79" t="s">
        <v>52</v>
      </c>
      <c r="AA19" s="55" t="s">
        <v>53</v>
      </c>
      <c r="AB19" s="88">
        <v>0.2</v>
      </c>
      <c r="AC19" s="81" t="s">
        <v>157</v>
      </c>
      <c r="AD19" s="91"/>
      <c r="AE19" s="98">
        <v>0.3</v>
      </c>
      <c r="AF19" s="79" t="s">
        <v>158</v>
      </c>
      <c r="AG19" s="75" t="s">
        <v>196</v>
      </c>
      <c r="AH19" s="88">
        <v>0.4</v>
      </c>
      <c r="AI19" s="81" t="s">
        <v>159</v>
      </c>
      <c r="AJ19" s="91"/>
      <c r="AK19" s="98">
        <v>0.1</v>
      </c>
      <c r="AL19" s="75"/>
      <c r="AM19" s="75"/>
      <c r="AN19" s="77"/>
      <c r="AO19" s="60"/>
      <c r="AP19" s="61"/>
      <c r="AQ19" s="62"/>
    </row>
    <row r="20" spans="1:43" ht="165.75">
      <c r="A20" s="63" t="s">
        <v>95</v>
      </c>
      <c r="B20" s="64">
        <v>103</v>
      </c>
      <c r="C20" s="78" t="s">
        <v>204</v>
      </c>
      <c r="D20" s="91" t="s">
        <v>64</v>
      </c>
      <c r="E20" s="99" t="s">
        <v>160</v>
      </c>
      <c r="F20" s="86">
        <v>10185</v>
      </c>
      <c r="G20" s="65" t="s">
        <v>161</v>
      </c>
      <c r="H20" s="65">
        <v>2008</v>
      </c>
      <c r="I20" s="93" t="s">
        <v>162</v>
      </c>
      <c r="J20" s="68">
        <v>73571.88</v>
      </c>
      <c r="K20" s="65" t="s">
        <v>139</v>
      </c>
      <c r="L20" s="91" t="s">
        <v>57</v>
      </c>
      <c r="M20" s="93" t="s">
        <v>153</v>
      </c>
      <c r="N20" s="93" t="s">
        <v>163</v>
      </c>
      <c r="O20" s="93" t="s">
        <v>164</v>
      </c>
      <c r="P20" s="94" t="s">
        <v>165</v>
      </c>
      <c r="Q20" s="72">
        <f t="shared" si="0"/>
        <v>37.10703529411765</v>
      </c>
      <c r="R20" s="95">
        <f>14714.88/1700</f>
        <v>8.655811764705883</v>
      </c>
      <c r="S20" s="95">
        <f>100*12/1700</f>
        <v>0.7058823529411765</v>
      </c>
      <c r="T20" s="97">
        <f>3930.59*12/1700</f>
        <v>27.74534117647059</v>
      </c>
      <c r="U20" s="52">
        <f t="shared" si="1"/>
        <v>37.10703529411765</v>
      </c>
      <c r="V20" s="95">
        <v>100</v>
      </c>
      <c r="W20" s="95">
        <v>60</v>
      </c>
      <c r="X20" s="93" t="s">
        <v>40</v>
      </c>
      <c r="Y20" s="95">
        <v>100</v>
      </c>
      <c r="Z20" s="79" t="s">
        <v>64</v>
      </c>
      <c r="AA20" s="73" t="s">
        <v>65</v>
      </c>
      <c r="AB20" s="74">
        <v>13</v>
      </c>
      <c r="AC20" s="81" t="s">
        <v>166</v>
      </c>
      <c r="AD20" s="93"/>
      <c r="AE20" s="95">
        <v>39</v>
      </c>
      <c r="AF20" s="79" t="s">
        <v>73</v>
      </c>
      <c r="AG20" s="73"/>
      <c r="AH20" s="75">
        <v>38</v>
      </c>
      <c r="AI20" s="81"/>
      <c r="AJ20" s="91"/>
      <c r="AK20" s="91"/>
      <c r="AL20" s="75"/>
      <c r="AM20" s="75"/>
      <c r="AN20" s="77"/>
      <c r="AO20" s="60"/>
      <c r="AP20" s="61"/>
      <c r="AQ20" s="62"/>
    </row>
    <row r="21" spans="1:43" s="9" customFormat="1" ht="165.75">
      <c r="A21" s="63" t="s">
        <v>95</v>
      </c>
      <c r="B21" s="64">
        <v>103</v>
      </c>
      <c r="C21" s="78" t="s">
        <v>202</v>
      </c>
      <c r="D21" s="76" t="s">
        <v>64</v>
      </c>
      <c r="E21" s="100" t="s">
        <v>65</v>
      </c>
      <c r="F21" s="76">
        <v>14126</v>
      </c>
      <c r="G21" s="83" t="s">
        <v>167</v>
      </c>
      <c r="H21" s="65">
        <v>2008</v>
      </c>
      <c r="I21" s="83" t="s">
        <v>168</v>
      </c>
      <c r="J21" s="68">
        <v>51101.59</v>
      </c>
      <c r="K21" s="65" t="s">
        <v>139</v>
      </c>
      <c r="L21" s="76" t="s">
        <v>57</v>
      </c>
      <c r="M21" s="83" t="s">
        <v>58</v>
      </c>
      <c r="N21" s="101" t="s">
        <v>169</v>
      </c>
      <c r="O21" s="101" t="s">
        <v>170</v>
      </c>
      <c r="P21" s="102" t="s">
        <v>171</v>
      </c>
      <c r="Q21" s="72">
        <f t="shared" si="0"/>
        <v>33.97870588235294</v>
      </c>
      <c r="R21" s="104">
        <f>10356.72/1700</f>
        <v>6.092188235294118</v>
      </c>
      <c r="S21" s="104">
        <f>20*12/1700</f>
        <v>0.1411764705882353</v>
      </c>
      <c r="T21" s="97">
        <f>3930.59*12/1700</f>
        <v>27.74534117647059</v>
      </c>
      <c r="U21" s="52">
        <f t="shared" si="1"/>
        <v>33.97870588235294</v>
      </c>
      <c r="V21" s="104">
        <v>100</v>
      </c>
      <c r="W21" s="104">
        <v>39.28</v>
      </c>
      <c r="X21" s="46" t="s">
        <v>40</v>
      </c>
      <c r="Y21" s="104">
        <v>100</v>
      </c>
      <c r="Z21" s="105" t="s">
        <v>64</v>
      </c>
      <c r="AA21" s="106" t="s">
        <v>65</v>
      </c>
      <c r="AB21" s="107">
        <v>40</v>
      </c>
      <c r="AC21" s="103" t="s">
        <v>71</v>
      </c>
      <c r="AD21" s="108" t="s">
        <v>193</v>
      </c>
      <c r="AE21" s="104">
        <v>40</v>
      </c>
      <c r="AF21" s="106" t="s">
        <v>72</v>
      </c>
      <c r="AG21" s="106"/>
      <c r="AH21" s="105">
        <v>10</v>
      </c>
      <c r="AI21" s="103" t="s">
        <v>73</v>
      </c>
      <c r="AJ21" s="103"/>
      <c r="AK21" s="103">
        <v>10</v>
      </c>
      <c r="AL21" s="105"/>
      <c r="AM21" s="105"/>
      <c r="AN21" s="109"/>
      <c r="AO21" s="60"/>
      <c r="AP21" s="61"/>
      <c r="AQ21" s="62"/>
    </row>
    <row r="22" spans="1:43" ht="140.25" customHeight="1">
      <c r="A22" s="63" t="s">
        <v>95</v>
      </c>
      <c r="B22" s="110">
        <v>103</v>
      </c>
      <c r="C22" s="141" t="s">
        <v>205</v>
      </c>
      <c r="D22" s="93" t="s">
        <v>41</v>
      </c>
      <c r="E22" s="111" t="s">
        <v>172</v>
      </c>
      <c r="F22" s="67">
        <v>14115</v>
      </c>
      <c r="G22" s="93" t="s">
        <v>173</v>
      </c>
      <c r="H22" s="93">
        <v>2010</v>
      </c>
      <c r="I22" s="113" t="s">
        <v>225</v>
      </c>
      <c r="J22" s="112">
        <v>595000</v>
      </c>
      <c r="K22" s="144" t="s">
        <v>216</v>
      </c>
      <c r="L22" s="113" t="s">
        <v>210</v>
      </c>
      <c r="M22" s="113" t="s">
        <v>220</v>
      </c>
      <c r="N22" s="113" t="s">
        <v>226</v>
      </c>
      <c r="O22" s="113" t="s">
        <v>227</v>
      </c>
      <c r="P22" s="94" t="s">
        <v>174</v>
      </c>
      <c r="Q22" s="72">
        <f>U22</f>
        <v>100.57079411764707</v>
      </c>
      <c r="R22" s="95">
        <f>+J22/5/1700</f>
        <v>70</v>
      </c>
      <c r="S22" s="95">
        <f>26032.52/1700</f>
        <v>15.31324705882353</v>
      </c>
      <c r="T22" s="97">
        <f>25937.83/1700</f>
        <v>15.25754705882353</v>
      </c>
      <c r="U22" s="52">
        <f>SUM(R22:T22)</f>
        <v>100.57079411764707</v>
      </c>
      <c r="V22" s="95">
        <v>100</v>
      </c>
      <c r="W22" s="70">
        <f>(67840.56+9916.67+9916.67+9916.67)/J22*100</f>
        <v>16.401776470588235</v>
      </c>
      <c r="X22" s="65" t="s">
        <v>188</v>
      </c>
      <c r="Y22" s="70">
        <v>100</v>
      </c>
      <c r="Z22" s="106" t="s">
        <v>191</v>
      </c>
      <c r="AA22" s="106" t="s">
        <v>65</v>
      </c>
      <c r="AB22" s="107">
        <v>62</v>
      </c>
      <c r="AC22" s="76" t="s">
        <v>189</v>
      </c>
      <c r="AD22" s="65" t="s">
        <v>190</v>
      </c>
      <c r="AE22" s="70">
        <v>38</v>
      </c>
      <c r="AF22" s="105"/>
      <c r="AG22" s="106"/>
      <c r="AH22" s="105"/>
      <c r="AI22" s="76"/>
      <c r="AJ22" s="76"/>
      <c r="AK22" s="76"/>
      <c r="AL22" s="105"/>
      <c r="AM22" s="105"/>
      <c r="AN22" s="109"/>
      <c r="AO22" s="60"/>
      <c r="AP22" s="61"/>
      <c r="AQ22" s="62"/>
    </row>
    <row r="23" spans="1:40" ht="139.5" customHeight="1">
      <c r="A23" s="63" t="s">
        <v>95</v>
      </c>
      <c r="B23" s="110">
        <v>103</v>
      </c>
      <c r="C23" s="141" t="s">
        <v>203</v>
      </c>
      <c r="D23" s="93" t="s">
        <v>175</v>
      </c>
      <c r="E23" s="111" t="s">
        <v>176</v>
      </c>
      <c r="F23" s="114" t="s">
        <v>177</v>
      </c>
      <c r="G23" s="93" t="s">
        <v>218</v>
      </c>
      <c r="H23" s="93">
        <v>2010</v>
      </c>
      <c r="I23" s="93" t="s">
        <v>219</v>
      </c>
      <c r="J23" s="112">
        <v>477428</v>
      </c>
      <c r="K23" s="144" t="s">
        <v>216</v>
      </c>
      <c r="L23" s="113" t="s">
        <v>210</v>
      </c>
      <c r="M23" s="113" t="s">
        <v>220</v>
      </c>
      <c r="N23" s="93" t="s">
        <v>221</v>
      </c>
      <c r="O23" s="113" t="s">
        <v>222</v>
      </c>
      <c r="P23" s="94" t="s">
        <v>178</v>
      </c>
      <c r="Q23" s="72">
        <f>U23</f>
        <v>86.73879411764707</v>
      </c>
      <c r="R23" s="95">
        <f>+J23/5/1700</f>
        <v>56.168000000000006</v>
      </c>
      <c r="S23" s="95">
        <f>26032.52/1700</f>
        <v>15.31324705882353</v>
      </c>
      <c r="T23" s="97">
        <f>25937.83/1700</f>
        <v>15.25754705882353</v>
      </c>
      <c r="U23" s="52">
        <f>SUM(R23:T23)</f>
        <v>86.73879411764707</v>
      </c>
      <c r="V23" s="95">
        <v>100</v>
      </c>
      <c r="W23" s="70">
        <f>(119+7957.13+7957.13+7957.13)/J23*100</f>
        <v>5.024923129770353</v>
      </c>
      <c r="X23" s="65" t="s">
        <v>188</v>
      </c>
      <c r="Y23" s="70">
        <v>100</v>
      </c>
      <c r="Z23" s="105" t="s">
        <v>84</v>
      </c>
      <c r="AA23" s="106" t="s">
        <v>195</v>
      </c>
      <c r="AB23" s="107">
        <v>30</v>
      </c>
      <c r="AC23" s="76" t="s">
        <v>74</v>
      </c>
      <c r="AD23" s="65"/>
      <c r="AE23" s="70">
        <v>30</v>
      </c>
      <c r="AF23" s="105" t="s">
        <v>41</v>
      </c>
      <c r="AG23" s="106" t="s">
        <v>42</v>
      </c>
      <c r="AH23" s="105">
        <v>15</v>
      </c>
      <c r="AI23" s="76" t="s">
        <v>64</v>
      </c>
      <c r="AJ23" s="65" t="s">
        <v>65</v>
      </c>
      <c r="AK23" s="76">
        <v>25</v>
      </c>
      <c r="AL23" s="105"/>
      <c r="AM23" s="105"/>
      <c r="AN23" s="109"/>
    </row>
    <row r="24" spans="1:40" ht="139.5" customHeight="1">
      <c r="A24" s="63" t="s">
        <v>95</v>
      </c>
      <c r="B24" s="110">
        <v>103</v>
      </c>
      <c r="C24" s="141" t="s">
        <v>203</v>
      </c>
      <c r="D24" s="93" t="s">
        <v>175</v>
      </c>
      <c r="E24" s="111" t="s">
        <v>176</v>
      </c>
      <c r="F24" s="114" t="s">
        <v>177</v>
      </c>
      <c r="G24" s="93" t="s">
        <v>223</v>
      </c>
      <c r="H24" s="93">
        <v>2010</v>
      </c>
      <c r="I24" s="93" t="s">
        <v>224</v>
      </c>
      <c r="J24" s="112">
        <v>253113</v>
      </c>
      <c r="K24" s="144" t="s">
        <v>216</v>
      </c>
      <c r="L24" s="113" t="s">
        <v>210</v>
      </c>
      <c r="M24" s="113" t="s">
        <v>220</v>
      </c>
      <c r="N24" s="93" t="s">
        <v>221</v>
      </c>
      <c r="O24" s="113" t="s">
        <v>222</v>
      </c>
      <c r="P24" s="94" t="s">
        <v>179</v>
      </c>
      <c r="Q24" s="72">
        <f>U24</f>
        <v>60.34879411764706</v>
      </c>
      <c r="R24" s="95">
        <f>+J24/5/1700</f>
        <v>29.778</v>
      </c>
      <c r="S24" s="95">
        <f>26032.52/1700</f>
        <v>15.31324705882353</v>
      </c>
      <c r="T24" s="97">
        <f>25937.83/1700</f>
        <v>15.25754705882353</v>
      </c>
      <c r="U24" s="52">
        <f>SUM(R24:T24)</f>
        <v>60.34879411764706</v>
      </c>
      <c r="V24" s="95">
        <v>100</v>
      </c>
      <c r="W24" s="70">
        <f>(119+4218.55+4218.55+4218.55)/J24*100</f>
        <v>5.047014574518101</v>
      </c>
      <c r="X24" s="65" t="s">
        <v>188</v>
      </c>
      <c r="Y24" s="70">
        <v>100</v>
      </c>
      <c r="Z24" s="75" t="s">
        <v>84</v>
      </c>
      <c r="AA24" s="73" t="s">
        <v>195</v>
      </c>
      <c r="AB24" s="74">
        <v>30</v>
      </c>
      <c r="AC24" s="76" t="s">
        <v>74</v>
      </c>
      <c r="AD24" s="65"/>
      <c r="AE24" s="70">
        <v>30</v>
      </c>
      <c r="AF24" s="75" t="s">
        <v>41</v>
      </c>
      <c r="AG24" s="73" t="s">
        <v>42</v>
      </c>
      <c r="AH24" s="75">
        <v>15</v>
      </c>
      <c r="AI24" s="76" t="s">
        <v>64</v>
      </c>
      <c r="AJ24" s="65" t="s">
        <v>65</v>
      </c>
      <c r="AK24" s="76">
        <v>25</v>
      </c>
      <c r="AL24" s="75"/>
      <c r="AM24" s="75"/>
      <c r="AN24" s="109"/>
    </row>
    <row r="25" spans="1:40" ht="139.5" customHeight="1">
      <c r="A25" s="63" t="s">
        <v>95</v>
      </c>
      <c r="B25" s="110">
        <v>103</v>
      </c>
      <c r="C25" s="141" t="s">
        <v>203</v>
      </c>
      <c r="D25" s="93" t="s">
        <v>175</v>
      </c>
      <c r="E25" s="111" t="s">
        <v>206</v>
      </c>
      <c r="F25" s="114" t="s">
        <v>207</v>
      </c>
      <c r="G25" s="93" t="s">
        <v>208</v>
      </c>
      <c r="H25" s="93">
        <v>2010</v>
      </c>
      <c r="I25" s="113" t="s">
        <v>209</v>
      </c>
      <c r="J25" s="145">
        <v>227730.3</v>
      </c>
      <c r="K25" s="144" t="s">
        <v>139</v>
      </c>
      <c r="L25" s="113" t="s">
        <v>210</v>
      </c>
      <c r="M25" s="113" t="s">
        <v>220</v>
      </c>
      <c r="N25" s="113" t="s">
        <v>211</v>
      </c>
      <c r="O25" s="113" t="s">
        <v>212</v>
      </c>
      <c r="P25" s="94" t="s">
        <v>213</v>
      </c>
      <c r="Q25" s="72">
        <f>U25</f>
        <v>57.36259411764706</v>
      </c>
      <c r="R25" s="95">
        <f>+J25/5/1700</f>
        <v>26.7918</v>
      </c>
      <c r="S25" s="95">
        <f>26032.52/1700</f>
        <v>15.31324705882353</v>
      </c>
      <c r="T25" s="97">
        <f>25937.83/1700</f>
        <v>15.25754705882353</v>
      </c>
      <c r="U25" s="52">
        <f>SUM(R25:T25)</f>
        <v>57.36259411764706</v>
      </c>
      <c r="V25" s="95">
        <v>100</v>
      </c>
      <c r="W25" s="70">
        <f>(63.46+3795.51+3795.51+3795.51)/J25*100</f>
        <v>5.027872882967265</v>
      </c>
      <c r="X25" s="65" t="s">
        <v>214</v>
      </c>
      <c r="Y25" s="70">
        <v>100</v>
      </c>
      <c r="Z25" s="75"/>
      <c r="AA25" s="73"/>
      <c r="AB25" s="74">
        <v>100</v>
      </c>
      <c r="AC25" s="76"/>
      <c r="AD25" s="65"/>
      <c r="AE25" s="70"/>
      <c r="AF25" s="75"/>
      <c r="AG25" s="73"/>
      <c r="AH25" s="75"/>
      <c r="AI25" s="76"/>
      <c r="AJ25" s="76"/>
      <c r="AK25" s="76"/>
      <c r="AL25" s="75"/>
      <c r="AM25" s="75"/>
      <c r="AN25" s="75"/>
    </row>
    <row r="26" spans="1:43" ht="15" customHeight="1">
      <c r="A26" s="115"/>
      <c r="B26" s="116"/>
      <c r="C26" s="142"/>
      <c r="D26" s="117"/>
      <c r="E26" s="118"/>
      <c r="F26" s="119"/>
      <c r="G26" s="117"/>
      <c r="H26" s="117"/>
      <c r="I26" s="117"/>
      <c r="J26" s="120"/>
      <c r="K26" s="116"/>
      <c r="L26" s="117"/>
      <c r="M26" s="121"/>
      <c r="N26" s="121"/>
      <c r="O26" s="121"/>
      <c r="P26" s="122"/>
      <c r="W26" s="123"/>
      <c r="X26" s="124"/>
      <c r="Y26" s="125"/>
      <c r="Z26" s="9"/>
      <c r="AA26" s="124"/>
      <c r="AB26" s="125"/>
      <c r="AC26" s="9"/>
      <c r="AD26" s="124"/>
      <c r="AE26" s="125"/>
      <c r="AF26" s="9"/>
      <c r="AG26" s="124"/>
      <c r="AH26" s="9"/>
      <c r="AI26" s="9"/>
      <c r="AJ26" s="9"/>
      <c r="AK26" s="9"/>
      <c r="AL26" s="9"/>
      <c r="AM26" s="9"/>
      <c r="AN26" s="132"/>
      <c r="AO26" s="133"/>
      <c r="AP26" s="133"/>
      <c r="AQ26" s="134"/>
    </row>
    <row r="27" spans="1:43" ht="12.75">
      <c r="A27" s="146" t="s">
        <v>186</v>
      </c>
      <c r="B27" s="146"/>
      <c r="C27" s="146"/>
      <c r="D27" s="146"/>
      <c r="E27" s="146"/>
      <c r="F27" s="146"/>
      <c r="I27"/>
      <c r="K27" s="153" t="s">
        <v>187</v>
      </c>
      <c r="L27" s="146"/>
      <c r="M27" s="146"/>
      <c r="N27" s="146"/>
      <c r="O27" s="146"/>
      <c r="P27" s="146"/>
      <c r="X27" s="124"/>
      <c r="Y27" s="125"/>
      <c r="Z27" s="9"/>
      <c r="AA27" s="124"/>
      <c r="AB27" s="125"/>
      <c r="AC27" s="9"/>
      <c r="AD27" s="124"/>
      <c r="AE27" s="125"/>
      <c r="AF27" s="9"/>
      <c r="AG27" s="124"/>
      <c r="AH27" s="9"/>
      <c r="AI27" s="9"/>
      <c r="AJ27" s="9"/>
      <c r="AK27" s="9"/>
      <c r="AL27" s="9"/>
      <c r="AM27" s="9"/>
      <c r="AN27" s="128"/>
      <c r="AO27" s="129"/>
      <c r="AP27" s="129"/>
      <c r="AQ27" s="135"/>
    </row>
    <row r="28" spans="5:43" ht="12.75">
      <c r="E28"/>
      <c r="F28" s="1"/>
      <c r="I28"/>
      <c r="K28" s="126"/>
      <c r="M28"/>
      <c r="X28" s="124"/>
      <c r="Y28" s="125"/>
      <c r="Z28" s="9"/>
      <c r="AA28" s="124"/>
      <c r="AB28" s="125"/>
      <c r="AC28" s="9"/>
      <c r="AD28" s="124"/>
      <c r="AE28" s="125"/>
      <c r="AF28" s="9"/>
      <c r="AG28" s="124"/>
      <c r="AH28" s="9"/>
      <c r="AI28" s="9"/>
      <c r="AJ28" s="9"/>
      <c r="AK28" s="9"/>
      <c r="AL28" s="9"/>
      <c r="AM28" s="9"/>
      <c r="AN28" s="128"/>
      <c r="AO28" s="129"/>
      <c r="AP28" s="129"/>
      <c r="AQ28" s="135"/>
    </row>
    <row r="29" spans="1:43" ht="12.75">
      <c r="A29" s="146"/>
      <c r="B29" s="146"/>
      <c r="C29" s="146"/>
      <c r="D29" s="146"/>
      <c r="E29" s="146"/>
      <c r="I29"/>
      <c r="M29"/>
      <c r="AN29" s="130"/>
      <c r="AO29" s="129"/>
      <c r="AP29" s="129"/>
      <c r="AQ29" s="135"/>
    </row>
    <row r="30" spans="5:43" ht="12.75">
      <c r="E30"/>
      <c r="I30"/>
      <c r="M30"/>
      <c r="AN30" s="130"/>
      <c r="AO30" s="129"/>
      <c r="AP30" s="129"/>
      <c r="AQ30" s="135"/>
    </row>
    <row r="31" spans="40:43" ht="12.75">
      <c r="AN31" s="127"/>
      <c r="AO31" s="131"/>
      <c r="AP31" s="131"/>
      <c r="AQ31" s="136"/>
    </row>
    <row r="32" spans="41:43" ht="12.75">
      <c r="AO32" s="6"/>
      <c r="AP32" s="6"/>
      <c r="AQ32" s="6"/>
    </row>
  </sheetData>
  <sheetProtection/>
  <mergeCells count="6">
    <mergeCell ref="A29:E29"/>
    <mergeCell ref="A1:G1"/>
    <mergeCell ref="R3:U3"/>
    <mergeCell ref="Y3:AC3"/>
    <mergeCell ref="A27:F27"/>
    <mergeCell ref="K27:P27"/>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dcterms:created xsi:type="dcterms:W3CDTF">2010-12-24T08:49:50Z</dcterms:created>
  <dcterms:modified xsi:type="dcterms:W3CDTF">2012-10-02T11:21:54Z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